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05" yWindow="-105" windowWidth="19440" windowHeight="11040" activeTab="3"/>
  </bookViews>
  <sheets>
    <sheet name="قرارداد" sheetId="1" r:id="rId1"/>
    <sheet name="لیست حقوق" sheetId="2" r:id="rId2"/>
    <sheet name="جدول مالیات" sheetId="3" r:id="rId3"/>
    <sheet name="فیش حقوقی" sheetId="4" r:id="rId4"/>
  </sheets>
  <definedNames>
    <definedName name="_xlcn.LinkedTable_Table11" hidden="1">Table1</definedName>
    <definedName name="_xlnm.Print_Area" localSheetId="1">'لیست حقوق'!$A$1:$Z$20</definedName>
  </definedNames>
  <calcPr calcId="145621"/>
  <extLst>
    <ext xmlns:x15="http://schemas.microsoft.com/office/spreadsheetml/2010/11/main" uri="{FCE2AD5D-F65C-4FA6-A056-5C36A1767C68}">
      <x15:dataModel>
        <x15:modelTables>
          <x15:modelTable id="Table1-f6ccf117-0336-4e17-b28b-77110cbc0d51" name="Table1" connection="LinkedTable_Table1"/>
        </x15:modelTables>
      </x15:dataModel>
    </ext>
  </extLst>
</workbook>
</file>

<file path=xl/calcChain.xml><?xml version="1.0" encoding="utf-8"?>
<calcChain xmlns="http://schemas.openxmlformats.org/spreadsheetml/2006/main">
  <c r="N12" i="1" l="1"/>
  <c r="I15" i="1"/>
  <c r="K16" i="1" s="1"/>
  <c r="E16" i="2" s="1"/>
  <c r="I14" i="1"/>
  <c r="I13" i="1"/>
  <c r="I12" i="1"/>
  <c r="K13" i="1" s="1"/>
  <c r="E13" i="2" s="1"/>
  <c r="I11" i="1"/>
  <c r="L12" i="1" s="1"/>
  <c r="F12" i="2" s="1"/>
  <c r="I10" i="1"/>
  <c r="L11" i="1" s="1"/>
  <c r="F11" i="2" s="1"/>
  <c r="I9" i="1"/>
  <c r="I8" i="1"/>
  <c r="L9" i="1" s="1"/>
  <c r="F9" i="2" s="1"/>
  <c r="I7" i="1"/>
  <c r="M10" i="1" s="1"/>
  <c r="G8" i="2" s="1"/>
  <c r="I6" i="1"/>
  <c r="L15" i="1"/>
  <c r="F15" i="2" s="1"/>
  <c r="C11" i="4"/>
  <c r="C9" i="4"/>
  <c r="G9" i="4"/>
  <c r="G7" i="4"/>
  <c r="C7" i="4"/>
  <c r="C17" i="2"/>
  <c r="K17" i="2"/>
  <c r="M17" i="2"/>
  <c r="N17" i="2"/>
  <c r="J8" i="2"/>
  <c r="J9" i="2"/>
  <c r="J10" i="2"/>
  <c r="J11" i="2"/>
  <c r="J12" i="2"/>
  <c r="J13" i="2"/>
  <c r="J14" i="2"/>
  <c r="J15" i="2"/>
  <c r="J16" i="2"/>
  <c r="J7" i="2"/>
  <c r="O18" i="1"/>
  <c r="O17" i="1"/>
  <c r="O16" i="1"/>
  <c r="O15" i="1"/>
  <c r="O14" i="1"/>
  <c r="O13" i="1"/>
  <c r="O12" i="1"/>
  <c r="O11" i="1"/>
  <c r="O10" i="1"/>
  <c r="I8" i="2" s="1"/>
  <c r="O9" i="1"/>
  <c r="I7" i="2" s="1"/>
  <c r="N18" i="1"/>
  <c r="N17" i="1"/>
  <c r="N16" i="1"/>
  <c r="N15" i="1"/>
  <c r="N14" i="1"/>
  <c r="H12" i="2" s="1"/>
  <c r="N13" i="1"/>
  <c r="N11" i="1"/>
  <c r="N10" i="1"/>
  <c r="H8" i="2" s="1"/>
  <c r="N9" i="1"/>
  <c r="H7" i="2" s="1"/>
  <c r="M18" i="1"/>
  <c r="M17" i="1"/>
  <c r="M16" i="1"/>
  <c r="M13" i="1"/>
  <c r="M12" i="1"/>
  <c r="G10" i="2" s="1"/>
  <c r="M9" i="1"/>
  <c r="G7" i="2" s="1"/>
  <c r="L14" i="1"/>
  <c r="F14" i="2" s="1"/>
  <c r="L10" i="1"/>
  <c r="F10" i="2" s="1"/>
  <c r="L7" i="1"/>
  <c r="F7" i="2" s="1"/>
  <c r="K14" i="1"/>
  <c r="E14" i="2" s="1"/>
  <c r="K7" i="1"/>
  <c r="E7" i="2" s="1"/>
  <c r="K11" i="1"/>
  <c r="E11" i="2" s="1"/>
  <c r="K10" i="1"/>
  <c r="E10" i="2" s="1"/>
  <c r="J8" i="1"/>
  <c r="L8" i="2" s="1"/>
  <c r="J10" i="1"/>
  <c r="O10" i="2" s="1"/>
  <c r="J14" i="1"/>
  <c r="O14" i="2" s="1"/>
  <c r="J16" i="1"/>
  <c r="L16" i="2" s="1"/>
  <c r="J7" i="1"/>
  <c r="O7" i="2" s="1"/>
  <c r="G14" i="2" l="1"/>
  <c r="G16" i="2"/>
  <c r="H10" i="2"/>
  <c r="H14" i="2"/>
  <c r="H16" i="2"/>
  <c r="I10" i="2"/>
  <c r="I12" i="2"/>
  <c r="I14" i="2"/>
  <c r="I16" i="2"/>
  <c r="G15" i="2"/>
  <c r="H9" i="2"/>
  <c r="H11" i="2"/>
  <c r="H13" i="2"/>
  <c r="H15" i="2"/>
  <c r="I9" i="2"/>
  <c r="I11" i="2"/>
  <c r="I13" i="2"/>
  <c r="I15" i="2"/>
  <c r="K8" i="1"/>
  <c r="E8" i="2" s="1"/>
  <c r="K12" i="1"/>
  <c r="E12" i="2" s="1"/>
  <c r="L8" i="1"/>
  <c r="F8" i="2" s="1"/>
  <c r="E6" i="4" s="1"/>
  <c r="L16" i="1"/>
  <c r="F16" i="2" s="1"/>
  <c r="M14" i="1"/>
  <c r="G12" i="2" s="1"/>
  <c r="J12" i="1"/>
  <c r="L12" i="2" s="1"/>
  <c r="J13" i="1"/>
  <c r="O13" i="2" s="1"/>
  <c r="K9" i="1"/>
  <c r="E9" i="2" s="1"/>
  <c r="L13" i="1"/>
  <c r="F13" i="2" s="1"/>
  <c r="M11" i="1"/>
  <c r="G9" i="2" s="1"/>
  <c r="M15" i="1"/>
  <c r="G13" i="2" s="1"/>
  <c r="J9" i="1"/>
  <c r="O9" i="2" s="1"/>
  <c r="J15" i="1"/>
  <c r="L15" i="2" s="1"/>
  <c r="J11" i="1"/>
  <c r="L11" i="2" s="1"/>
  <c r="K15" i="1"/>
  <c r="E15" i="2" s="1"/>
  <c r="V7" i="2"/>
  <c r="V10" i="2"/>
  <c r="V8" i="2"/>
  <c r="V13" i="2"/>
  <c r="V16" i="2"/>
  <c r="V15" i="2"/>
  <c r="V14" i="2"/>
  <c r="E10" i="4"/>
  <c r="E8" i="4"/>
  <c r="E7" i="4"/>
  <c r="E9" i="4"/>
  <c r="O16" i="2"/>
  <c r="O12" i="2"/>
  <c r="O8" i="2"/>
  <c r="D16" i="2"/>
  <c r="D8" i="2"/>
  <c r="L14" i="2"/>
  <c r="O15" i="2"/>
  <c r="L7" i="2"/>
  <c r="L10" i="2"/>
  <c r="D14" i="2"/>
  <c r="D10" i="2"/>
  <c r="D7" i="2"/>
  <c r="D13" i="2"/>
  <c r="D9" i="2"/>
  <c r="H17" i="2"/>
  <c r="J17" i="2"/>
  <c r="I17" i="2"/>
  <c r="D12" i="2" l="1"/>
  <c r="V12" i="2"/>
  <c r="G11" i="2"/>
  <c r="F17" i="2"/>
  <c r="L13" i="2"/>
  <c r="P13" i="2" s="1"/>
  <c r="G17" i="2"/>
  <c r="E17" i="2"/>
  <c r="L9" i="2"/>
  <c r="D11" i="2"/>
  <c r="V9" i="2"/>
  <c r="D15" i="2"/>
  <c r="P15" i="2" s="1"/>
  <c r="O11" i="2"/>
  <c r="O17" i="2" s="1"/>
  <c r="V11" i="2"/>
  <c r="E11" i="4"/>
  <c r="E12" i="4"/>
  <c r="P12" i="2"/>
  <c r="P16" i="2"/>
  <c r="P10" i="2"/>
  <c r="P8" i="2"/>
  <c r="P7" i="2"/>
  <c r="C5" i="3" s="1"/>
  <c r="P14" i="2"/>
  <c r="L17" i="2" l="1"/>
  <c r="P9" i="2"/>
  <c r="AA9" i="2" s="1"/>
  <c r="Q9" i="2" s="1"/>
  <c r="D7" i="3" s="1"/>
  <c r="D17" i="2"/>
  <c r="P11" i="2"/>
  <c r="AA11" i="2" s="1"/>
  <c r="Q11" i="2" s="1"/>
  <c r="D9" i="3" s="1"/>
  <c r="AA16" i="2"/>
  <c r="Q16" i="2" s="1"/>
  <c r="D14" i="3" s="1"/>
  <c r="C14" i="3"/>
  <c r="AA15" i="2"/>
  <c r="Q15" i="2" s="1"/>
  <c r="D13" i="3" s="1"/>
  <c r="C13" i="3"/>
  <c r="AA14" i="2"/>
  <c r="Q14" i="2" s="1"/>
  <c r="D12" i="3" s="1"/>
  <c r="C12" i="3"/>
  <c r="AA13" i="2"/>
  <c r="Q13" i="2" s="1"/>
  <c r="D11" i="3" s="1"/>
  <c r="C11" i="3"/>
  <c r="AA12" i="2"/>
  <c r="Q12" i="2" s="1"/>
  <c r="D10" i="3" s="1"/>
  <c r="C10" i="3"/>
  <c r="AA10" i="2"/>
  <c r="Q10" i="2" s="1"/>
  <c r="D8" i="3" s="1"/>
  <c r="C8" i="3"/>
  <c r="AA8" i="2"/>
  <c r="Q8" i="2" s="1"/>
  <c r="D6" i="3" s="1"/>
  <c r="C6" i="3"/>
  <c r="AA7" i="2"/>
  <c r="Q7" i="2" s="1"/>
  <c r="D5" i="3" s="1"/>
  <c r="C7" i="3" l="1"/>
  <c r="C9" i="3"/>
  <c r="G5" i="4"/>
  <c r="G8" i="4" l="1"/>
  <c r="G2" i="4"/>
  <c r="C5" i="4" l="1"/>
  <c r="G3" i="4"/>
  <c r="B1" i="4"/>
  <c r="T17" i="2" l="1"/>
  <c r="U17" i="2"/>
  <c r="W17" i="2"/>
  <c r="S17" i="2"/>
  <c r="V17" i="2" l="1"/>
  <c r="S11" i="1" l="1"/>
  <c r="B8" i="2" s="1"/>
  <c r="T11" i="1"/>
  <c r="S12" i="1"/>
  <c r="B9" i="2" s="1"/>
  <c r="T12" i="1"/>
  <c r="S13" i="1"/>
  <c r="T13" i="1"/>
  <c r="S14" i="1"/>
  <c r="B11" i="2" s="1"/>
  <c r="T14" i="1"/>
  <c r="S15" i="1"/>
  <c r="T15" i="1"/>
  <c r="S16" i="1"/>
  <c r="B13" i="2" s="1"/>
  <c r="T16" i="1"/>
  <c r="S17" i="1"/>
  <c r="T17" i="1"/>
  <c r="S18" i="1"/>
  <c r="T18" i="1"/>
  <c r="S19" i="1"/>
  <c r="T19" i="1"/>
  <c r="T10" i="1"/>
  <c r="S10" i="1"/>
  <c r="B7" i="2" s="1"/>
  <c r="B15" i="2" l="1"/>
  <c r="B13" i="3" s="1"/>
  <c r="B16" i="2"/>
  <c r="B14" i="3" s="1"/>
  <c r="B14" i="2"/>
  <c r="B12" i="3" s="1"/>
  <c r="B12" i="2"/>
  <c r="B10" i="3" s="1"/>
  <c r="B10" i="2"/>
  <c r="B8" i="3" s="1"/>
  <c r="B11" i="3"/>
  <c r="B9" i="3"/>
  <c r="B7" i="3"/>
  <c r="B6" i="3"/>
  <c r="E5" i="4"/>
  <c r="B5" i="3"/>
  <c r="E13" i="3" l="1"/>
  <c r="J13" i="3" s="1"/>
  <c r="E9" i="3"/>
  <c r="J9" i="3" s="1"/>
  <c r="E7" i="3"/>
  <c r="J7" i="3" s="1"/>
  <c r="E12" i="3"/>
  <c r="J12" i="3" s="1"/>
  <c r="E14" i="3"/>
  <c r="J14" i="3" s="1"/>
  <c r="E6" i="3"/>
  <c r="J6" i="3" s="1"/>
  <c r="E3" i="4"/>
  <c r="E11" i="3"/>
  <c r="J11" i="3" s="1"/>
  <c r="E13" i="4" l="1"/>
  <c r="E8" i="3"/>
  <c r="J8" i="3" s="1"/>
  <c r="E10" i="3"/>
  <c r="E5" i="3"/>
  <c r="J5" i="3" s="1"/>
  <c r="AA17" i="2"/>
  <c r="Q19" i="2" s="1"/>
  <c r="Q17" i="2"/>
  <c r="P17" i="2"/>
  <c r="F14" i="3"/>
  <c r="I14" i="3"/>
  <c r="G14" i="3"/>
  <c r="H14" i="3"/>
  <c r="H13" i="3"/>
  <c r="H12" i="3"/>
  <c r="I13" i="3"/>
  <c r="G12" i="3"/>
  <c r="I12" i="3"/>
  <c r="G13" i="3"/>
  <c r="G11" i="3"/>
  <c r="I11" i="3"/>
  <c r="H11" i="3"/>
  <c r="G7" i="3"/>
  <c r="I7" i="3"/>
  <c r="H7" i="3"/>
  <c r="H6" i="3"/>
  <c r="I6" i="3"/>
  <c r="I9" i="3"/>
  <c r="H9" i="3"/>
  <c r="F6" i="3"/>
  <c r="G6" i="3"/>
  <c r="F9" i="3"/>
  <c r="G9" i="3"/>
  <c r="F12" i="3"/>
  <c r="F7" i="3"/>
  <c r="F13" i="3"/>
  <c r="F11" i="3"/>
  <c r="J10" i="3" l="1"/>
  <c r="F10" i="3"/>
  <c r="I10" i="3"/>
  <c r="H10" i="3"/>
  <c r="G10" i="3"/>
  <c r="H5" i="3"/>
  <c r="F5" i="3"/>
  <c r="I5" i="3"/>
  <c r="G5" i="3"/>
  <c r="Q18" i="2"/>
  <c r="O20" i="2" s="1"/>
  <c r="F8" i="3"/>
  <c r="H8" i="3"/>
  <c r="I8" i="3"/>
  <c r="G8" i="3"/>
  <c r="K7" i="3"/>
  <c r="R9" i="2" s="1"/>
  <c r="X9" i="2" s="1"/>
  <c r="K6" i="3"/>
  <c r="R8" i="2" s="1"/>
  <c r="X8" i="2" s="1"/>
  <c r="K9" i="3"/>
  <c r="R11" i="2" s="1"/>
  <c r="X11" i="2" s="1"/>
  <c r="K5" i="3" l="1"/>
  <c r="R7" i="2" s="1"/>
  <c r="Q20" i="2"/>
  <c r="K8" i="3"/>
  <c r="R10" i="2" s="1"/>
  <c r="X10" i="2" s="1"/>
  <c r="X7" i="2" l="1"/>
  <c r="K10" i="3"/>
  <c r="Z8" i="2"/>
  <c r="Y8" i="2" s="1"/>
  <c r="Z10" i="2"/>
  <c r="Y10" i="2" s="1"/>
  <c r="Z9" i="2"/>
  <c r="Y9" i="2" s="1"/>
  <c r="Z11" i="2"/>
  <c r="Y11" i="2" s="1"/>
  <c r="R12" i="2" l="1"/>
  <c r="X12" i="2" s="1"/>
  <c r="K11" i="3"/>
  <c r="R13" i="2" s="1"/>
  <c r="G6" i="4" s="1"/>
  <c r="G13" i="4" s="1"/>
  <c r="Z7" i="2"/>
  <c r="Y7" i="2" s="1"/>
  <c r="X13" i="2" l="1"/>
  <c r="Z13" i="2" s="1"/>
  <c r="Y13" i="2" s="1"/>
  <c r="E14" i="4" s="1"/>
  <c r="E15" i="4" s="1"/>
  <c r="K12" i="3"/>
  <c r="R14" i="2" s="1"/>
  <c r="X14" i="2" l="1"/>
  <c r="Z14" i="2" s="1"/>
  <c r="Y14" i="2" s="1"/>
  <c r="K13" i="3"/>
  <c r="R15" i="2" s="1"/>
  <c r="K14" i="3"/>
  <c r="R16" i="2" s="1"/>
  <c r="Z12" i="2"/>
  <c r="X15" i="2" l="1"/>
  <c r="Z15" i="2" s="1"/>
  <c r="X16" i="2"/>
  <c r="Z16" i="2" s="1"/>
  <c r="Y16" i="2" s="1"/>
  <c r="K15" i="3"/>
  <c r="R17" i="2"/>
  <c r="Y12" i="2"/>
  <c r="Y15" i="2" l="1"/>
  <c r="Y17" i="2" s="1"/>
  <c r="Z17" i="2"/>
  <c r="X17" i="2"/>
</calcChain>
</file>

<file path=xl/connections.xml><?xml version="1.0" encoding="utf-8"?>
<connections xmlns="http://schemas.openxmlformats.org/spreadsheetml/2006/main">
  <connection id="1" name="LinkedTable_Table1" type="102" refreshedVersion="5" minRefreshableVersion="5">
    <extLst>
      <ext xmlns:x15="http://schemas.microsoft.com/office/spreadsheetml/2010/11/main" uri="{DE250136-89BD-433C-8126-D09CA5730AF9}">
        <x15:connection id="Table1-f6ccf117-0336-4e17-b28b-77110cbc0d51">
          <x15:rangePr sourceName="_xlcn.LinkedTable_Table11"/>
        </x15:connection>
      </ext>
    </extLst>
  </connection>
  <connection id="2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<sst xmlns="http://schemas.openxmlformats.org/spreadsheetml/2006/main" count="121" uniqueCount="94">
  <si>
    <t>نام</t>
  </si>
  <si>
    <t>نام خانوادگی</t>
  </si>
  <si>
    <t>شماره ملی</t>
  </si>
  <si>
    <t>حق مسکن</t>
  </si>
  <si>
    <t>نام کارمند</t>
  </si>
  <si>
    <t>کارکرد</t>
  </si>
  <si>
    <t xml:space="preserve">حقوق ثابت  </t>
  </si>
  <si>
    <t>اضافه کار</t>
  </si>
  <si>
    <t xml:space="preserve">جمع حقوق و مزایا </t>
  </si>
  <si>
    <t>بن و مسکن</t>
  </si>
  <si>
    <t>سایر مزایا</t>
  </si>
  <si>
    <t>ساعت</t>
  </si>
  <si>
    <t>مبلغ</t>
  </si>
  <si>
    <t>7% حق بیمه</t>
  </si>
  <si>
    <t>مالیات</t>
  </si>
  <si>
    <t>قسط وام</t>
  </si>
  <si>
    <t>حقوق و مزایا</t>
  </si>
  <si>
    <t>کسر کار</t>
  </si>
  <si>
    <t>سایر کسورات</t>
  </si>
  <si>
    <t>جمع کسورات</t>
  </si>
  <si>
    <t>رند حقوق</t>
  </si>
  <si>
    <t>خالص دریافتی</t>
  </si>
  <si>
    <t>کسورات</t>
  </si>
  <si>
    <t>لیست حقوق و دستمزد</t>
  </si>
  <si>
    <t>سال</t>
  </si>
  <si>
    <t xml:space="preserve">دوره مربوط به ماه </t>
  </si>
  <si>
    <t>کد کارمند</t>
  </si>
  <si>
    <t>کد</t>
  </si>
  <si>
    <t>نام و نام خانوادگی</t>
  </si>
  <si>
    <t>دقیقه</t>
  </si>
  <si>
    <t xml:space="preserve">از </t>
  </si>
  <si>
    <t>تا</t>
  </si>
  <si>
    <t>جمع</t>
  </si>
  <si>
    <t>کارمند</t>
  </si>
  <si>
    <t>20% سهم کارفرما</t>
  </si>
  <si>
    <t>3% بیمه بیکاری</t>
  </si>
  <si>
    <t>حق بیمه پرداختنی</t>
  </si>
  <si>
    <t>ریز قرارداد کارکنان</t>
  </si>
  <si>
    <t>حقوق ثابت</t>
  </si>
  <si>
    <t>بیمه سهم کارمند</t>
  </si>
  <si>
    <t>مالیات حقوق</t>
  </si>
  <si>
    <t>کارکرد ماهانه</t>
  </si>
  <si>
    <t>خالص پرداختی</t>
  </si>
  <si>
    <t>ريال</t>
  </si>
  <si>
    <t>کارکرد-روز</t>
  </si>
  <si>
    <t>کاوه</t>
  </si>
  <si>
    <t>علی</t>
  </si>
  <si>
    <t>حسینی</t>
  </si>
  <si>
    <t>احمد</t>
  </si>
  <si>
    <t>تابان</t>
  </si>
  <si>
    <t xml:space="preserve">مریم </t>
  </si>
  <si>
    <t>صدر</t>
  </si>
  <si>
    <t>کد پرسنلی</t>
  </si>
  <si>
    <t>مسعود</t>
  </si>
  <si>
    <t>کمانی</t>
  </si>
  <si>
    <t>بابا احمدی</t>
  </si>
  <si>
    <t>جمع هزینه پرداختی کارفرما</t>
  </si>
  <si>
    <t>ورود دیتا</t>
  </si>
  <si>
    <t>جمع کل</t>
  </si>
  <si>
    <t>مالیات (درصد)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</si>
  <si>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</si>
  <si>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</si>
  <si>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تاریخ</t>
  </si>
  <si>
    <t>فروردین</t>
  </si>
  <si>
    <t>محاسبات مالیات حقوق</t>
  </si>
  <si>
    <t>دستمزد (روزانه)</t>
  </si>
  <si>
    <t>بن (ماهانه)</t>
  </si>
  <si>
    <t>مسکن (ماهانه)</t>
  </si>
  <si>
    <t>تاهل (ماهانه)</t>
  </si>
  <si>
    <t>فرزند (ماهانه)</t>
  </si>
  <si>
    <t>پایه سنوات</t>
  </si>
  <si>
    <t>پایه سنوات (روزانه)</t>
  </si>
  <si>
    <t>تعداد فرزند</t>
  </si>
  <si>
    <t>متاهل
1 -&gt; بله
0 -&gt; خیر</t>
  </si>
  <si>
    <t>حق تاهل</t>
  </si>
  <si>
    <t>حق فرزند</t>
  </si>
  <si>
    <t>حق مسکن (روزانه)</t>
  </si>
  <si>
    <t>حق خواربار (روزانه)</t>
  </si>
  <si>
    <t>حق تاهل (روزانه)</t>
  </si>
  <si>
    <t>حق فرزند (روزانه)</t>
  </si>
  <si>
    <t>حقوق پایه (30 روز)</t>
  </si>
  <si>
    <t>پایه سنوات سال گذشته (روازنه)</t>
  </si>
  <si>
    <t>سایر مزایا نسبت به کارکرد (روزانه)</t>
  </si>
  <si>
    <t>حق بن</t>
  </si>
  <si>
    <t>ماموریت</t>
  </si>
  <si>
    <t>روز</t>
  </si>
  <si>
    <t>حقوق مشمول بیمه</t>
  </si>
  <si>
    <t>بیش از 1سال سابقه
1 -&gt; بله
0 -&gt; خیر</t>
  </si>
  <si>
    <t>حق بن و مسکن</t>
  </si>
  <si>
    <t>حق ماموریت</t>
  </si>
  <si>
    <r>
      <t>نام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و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نام‌خانوادگی</t>
    </r>
  </si>
  <si>
    <t>درصد سایر سطوح</t>
  </si>
  <si>
    <t>حقوق مصوب 1403</t>
  </si>
  <si>
    <t>معافیت هفت هفتم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</si>
</sst>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IRANSansFaNum Medium"/>
      <family val="2"/>
    </font>
    <font>
      <sz val="11"/>
      <color theme="1"/>
      <name val="IRANSansFaNum Medium"/>
      <family val="2"/>
    </font>
    <font>
      <b/>
      <sz val="11"/>
      <color theme="1"/>
      <name val="IRANSansFaNum Medium"/>
      <family val="2"/>
    </font>
    <font>
      <b/>
      <sz val="12"/>
      <color theme="1"/>
      <name val="IRANSansFaNum Medium"/>
      <family val="2"/>
    </font>
    <font>
      <sz val="14"/>
      <color theme="1"/>
      <name val="IRANSans(MonoSpacedNum) Medium"/>
      <family val="2"/>
    </font>
    <font>
      <sz val="11"/>
      <color theme="1"/>
      <name val="IRANSans(MonoSpacedNum) Medium"/>
      <family val="2"/>
    </font>
    <font>
      <sz val="10"/>
      <color theme="1"/>
      <name val="IRANSans(MonoSpacedNum) Medium"/>
      <family val="2"/>
    </font>
    <font>
      <sz val="8"/>
      <color theme="1"/>
      <name val="IRANSans(MonoSpacedNum) Medium"/>
      <family val="2"/>
    </font>
    <font>
      <sz val="11"/>
      <color theme="0"/>
      <name val="IRANSans(MonoSpacedNum) Medium"/>
      <family val="2"/>
    </font>
    <font>
      <b/>
      <sz val="20"/>
      <color theme="0"/>
      <name val="IRANSansFaNum Medium"/>
      <family val="2"/>
    </font>
    <font>
      <b/>
      <sz val="14"/>
      <color theme="0"/>
      <name val="IRANSansFaNum Medium"/>
      <family val="2"/>
    </font>
    <font>
      <b/>
      <sz val="12"/>
      <color theme="1"/>
      <name val="IRANSansMobileFaNum Medium"/>
      <family val="2"/>
    </font>
    <font>
      <sz val="11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b/>
      <sz val="12"/>
      <color theme="0"/>
      <name val="IRANSansMobileFaNum Medium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B Nazanin"/>
      <charset val="178"/>
    </font>
    <font>
      <sz val="12"/>
      <color theme="1"/>
      <name val="IRANSansFaNum Black"/>
      <family val="2"/>
    </font>
    <font>
      <sz val="12"/>
      <color theme="1"/>
      <name val="IRANSansFaNum Medium"/>
      <family val="2"/>
    </font>
    <font>
      <u/>
      <sz val="22"/>
      <color rgb="FF7F03FB"/>
      <name val="B Nazanin"/>
      <charset val="178"/>
    </font>
    <font>
      <sz val="12"/>
      <color theme="0"/>
      <name val="IRANSansFaNum Medium"/>
      <family val="2"/>
    </font>
    <font>
      <b/>
      <sz val="8"/>
      <color theme="1"/>
      <name val="IRANSansMobileFaNum Medium"/>
      <family val="2"/>
    </font>
    <font>
      <sz val="10"/>
      <color theme="0"/>
      <name val="IRANSans(MonoSpacedNum) Medium"/>
      <family val="2"/>
    </font>
    <font>
      <sz val="10"/>
      <color theme="1" tint="0.499984740745262"/>
      <name val="IRANSans(MonoSpacedNum) Medium"/>
      <family val="2"/>
    </font>
    <font>
      <b/>
      <u/>
      <sz val="12"/>
      <color theme="0"/>
      <name val="IRA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03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medium">
        <color rgb="FF7F03FB"/>
      </top>
      <bottom style="medium">
        <color rgb="FF7F03FB"/>
      </bottom>
      <diagonal/>
    </border>
    <border>
      <left/>
      <right/>
      <top style="medium">
        <color rgb="FF7F03F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7F03FB"/>
      </left>
      <right/>
      <top style="medium">
        <color rgb="FF7F03FB"/>
      </top>
      <bottom/>
      <diagonal/>
    </border>
    <border>
      <left style="medium">
        <color rgb="FF7F03FB"/>
      </left>
      <right/>
      <top/>
      <bottom/>
      <diagonal/>
    </border>
    <border>
      <left/>
      <right style="medium">
        <color rgb="FF7F03FB"/>
      </right>
      <top style="medium">
        <color rgb="FF7F03FB"/>
      </top>
      <bottom/>
      <diagonal/>
    </border>
    <border>
      <left/>
      <right style="medium">
        <color rgb="FF7F03FB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/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 style="medium">
        <color rgb="FF7F03FB"/>
      </left>
      <right/>
      <top/>
      <bottom style="medium">
        <color rgb="FF7F03FB"/>
      </bottom>
      <diagonal/>
    </border>
    <border>
      <left/>
      <right style="medium">
        <color rgb="FF7F03FB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37" fontId="3" fillId="0" borderId="8" xfId="1" applyNumberFormat="1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37" fontId="3" fillId="5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1" xfId="1" applyNumberFormat="1" applyFont="1" applyBorder="1" applyAlignment="1" applyProtection="1">
      <alignment horizontal="center" vertical="center"/>
      <protection hidden="1"/>
    </xf>
    <xf numFmtId="38" fontId="9" fillId="0" borderId="4" xfId="1" applyNumberFormat="1" applyFont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37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37" fontId="3" fillId="0" borderId="8" xfId="1" applyNumberFormat="1" applyFont="1" applyBorder="1" applyAlignment="1" applyProtection="1">
      <alignment horizontal="center" vertical="center"/>
      <protection hidden="1"/>
    </xf>
    <xf numFmtId="37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7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37" fontId="4" fillId="0" borderId="12" xfId="0" applyNumberFormat="1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37" fontId="3" fillId="0" borderId="14" xfId="1" applyNumberFormat="1" applyFont="1" applyBorder="1" applyAlignment="1" applyProtection="1">
      <alignment horizontal="center" vertical="center"/>
      <protection hidden="1"/>
    </xf>
    <xf numFmtId="37" fontId="3" fillId="0" borderId="14" xfId="1" applyNumberFormat="1" applyFont="1" applyFill="1" applyBorder="1" applyAlignment="1" applyProtection="1">
      <alignment horizontal="center" vertical="center"/>
      <protection hidden="1"/>
    </xf>
    <xf numFmtId="37" fontId="4" fillId="0" borderId="15" xfId="0" applyNumberFormat="1" applyFont="1" applyBorder="1" applyAlignment="1" applyProtection="1">
      <alignment horizontal="center" vertical="center"/>
      <protection hidden="1"/>
    </xf>
    <xf numFmtId="37" fontId="4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7" fontId="4" fillId="2" borderId="20" xfId="0" applyNumberFormat="1" applyFont="1" applyFill="1" applyBorder="1" applyAlignment="1" applyProtection="1">
      <alignment horizontal="center" vertical="center"/>
      <protection hidden="1"/>
    </xf>
    <xf numFmtId="165" fontId="4" fillId="12" borderId="8" xfId="1" applyNumberFormat="1" applyFont="1" applyFill="1" applyBorder="1" applyAlignment="1">
      <alignment horizontal="center" vertical="center"/>
    </xf>
    <xf numFmtId="37" fontId="4" fillId="12" borderId="8" xfId="1" applyNumberFormat="1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9" fontId="4" fillId="12" borderId="2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33" xfId="0" applyFont="1" applyBorder="1" applyAlignment="1">
      <alignment vertical="center"/>
    </xf>
    <xf numFmtId="0" fontId="14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37" fontId="14" fillId="0" borderId="43" xfId="1" applyNumberFormat="1" applyFont="1" applyBorder="1" applyAlignment="1">
      <alignment horizontal="center" vertical="center"/>
    </xf>
    <xf numFmtId="37" fontId="14" fillId="0" borderId="44" xfId="1" applyNumberFormat="1" applyFont="1" applyBorder="1" applyAlignment="1">
      <alignment horizontal="center" vertical="center"/>
    </xf>
    <xf numFmtId="37" fontId="14" fillId="0" borderId="45" xfId="1" applyNumberFormat="1" applyFont="1" applyBorder="1" applyAlignment="1">
      <alignment horizontal="center" vertical="center"/>
    </xf>
    <xf numFmtId="37" fontId="14" fillId="0" borderId="38" xfId="1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37" fontId="14" fillId="0" borderId="32" xfId="1" applyNumberFormat="1" applyFont="1" applyBorder="1" applyAlignment="1">
      <alignment horizontal="center" vertical="center"/>
    </xf>
    <xf numFmtId="165" fontId="16" fillId="0" borderId="32" xfId="1" applyNumberFormat="1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37" fontId="3" fillId="0" borderId="0" xfId="1" applyNumberFormat="1" applyFont="1" applyBorder="1" applyAlignment="1" applyProtection="1">
      <alignment horizontal="center" vertical="center"/>
      <protection locked="0"/>
    </xf>
    <xf numFmtId="0" fontId="24" fillId="7" borderId="8" xfId="0" applyFont="1" applyFill="1" applyBorder="1" applyAlignment="1">
      <alignment horizontal="center" vertical="center" wrapText="1"/>
    </xf>
    <xf numFmtId="165" fontId="24" fillId="7" borderId="8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7" fillId="11" borderId="54" xfId="1" applyNumberFormat="1" applyFont="1" applyFill="1" applyBorder="1" applyAlignment="1" applyProtection="1">
      <alignment vertical="center"/>
      <protection locked="0"/>
    </xf>
    <xf numFmtId="0" fontId="23" fillId="0" borderId="50" xfId="2" applyFont="1" applyBorder="1" applyAlignment="1" applyProtection="1">
      <alignment vertical="center" shrinkToFit="1"/>
      <protection hidden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37" fontId="3" fillId="0" borderId="58" xfId="1" applyNumberFormat="1" applyFont="1" applyBorder="1" applyAlignment="1" applyProtection="1">
      <alignment horizontal="center" vertical="center"/>
      <protection locked="0"/>
    </xf>
    <xf numFmtId="37" fontId="3" fillId="0" borderId="59" xfId="1" applyNumberFormat="1" applyFont="1" applyBorder="1" applyAlignment="1" applyProtection="1">
      <alignment horizontal="center" vertical="center"/>
      <protection locked="0"/>
    </xf>
    <xf numFmtId="37" fontId="3" fillId="0" borderId="60" xfId="1" applyNumberFormat="1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165" fontId="8" fillId="0" borderId="0" xfId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38" fontId="27" fillId="0" borderId="3" xfId="1" applyNumberFormat="1" applyFont="1" applyBorder="1" applyAlignment="1" applyProtection="1">
      <alignment horizontal="center" vertical="center"/>
      <protection locked="0"/>
    </xf>
    <xf numFmtId="38" fontId="8" fillId="0" borderId="2" xfId="1" applyNumberFormat="1" applyFont="1" applyBorder="1" applyAlignment="1" applyProtection="1">
      <alignment horizontal="center" vertical="center"/>
      <protection hidden="1"/>
    </xf>
    <xf numFmtId="38" fontId="27" fillId="0" borderId="2" xfId="1" applyNumberFormat="1" applyFont="1" applyBorder="1" applyAlignment="1" applyProtection="1">
      <alignment horizontal="center" vertical="center"/>
      <protection locked="0"/>
    </xf>
    <xf numFmtId="38" fontId="8" fillId="0" borderId="1" xfId="1" applyNumberFormat="1" applyFont="1" applyBorder="1" applyAlignment="1">
      <alignment horizontal="center" vertical="center"/>
    </xf>
    <xf numFmtId="38" fontId="26" fillId="8" borderId="1" xfId="0" applyNumberFormat="1" applyFont="1" applyFill="1" applyBorder="1" applyAlignment="1" applyProtection="1">
      <alignment horizontal="center" vertical="center"/>
      <protection hidden="1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1" xfId="0" applyNumberFormat="1" applyFont="1" applyBorder="1" applyAlignment="1" applyProtection="1">
      <alignment horizontal="center" vertical="center"/>
      <protection hidden="1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165" fontId="9" fillId="0" borderId="4" xfId="1" applyNumberFormat="1" applyFont="1" applyBorder="1" applyAlignment="1">
      <alignment horizontal="center" vertical="center"/>
    </xf>
    <xf numFmtId="165" fontId="7" fillId="11" borderId="8" xfId="1" applyNumberFormat="1" applyFont="1" applyFill="1" applyBorder="1" applyAlignment="1" applyProtection="1">
      <alignment horizontal="center" vertical="center"/>
      <protection locked="0"/>
    </xf>
    <xf numFmtId="165" fontId="7" fillId="2" borderId="8" xfId="1" applyNumberFormat="1" applyFont="1" applyFill="1" applyBorder="1" applyAlignment="1" applyProtection="1">
      <alignment horizontal="center" vertical="center"/>
      <protection locked="0"/>
    </xf>
    <xf numFmtId="165" fontId="7" fillId="11" borderId="52" xfId="1" applyNumberFormat="1" applyFont="1" applyFill="1" applyBorder="1" applyAlignment="1" applyProtection="1">
      <alignment horizontal="center" vertical="center"/>
      <protection locked="0"/>
    </xf>
    <xf numFmtId="165" fontId="7" fillId="11" borderId="53" xfId="1" applyNumberFormat="1" applyFont="1" applyFill="1" applyBorder="1" applyAlignment="1" applyProtection="1">
      <alignment horizontal="center" vertical="center"/>
      <protection locked="0"/>
    </xf>
    <xf numFmtId="165" fontId="7" fillId="11" borderId="54" xfId="1" applyNumberFormat="1" applyFont="1" applyFill="1" applyBorder="1" applyAlignment="1" applyProtection="1">
      <alignment horizontal="center" vertical="center"/>
      <protection locked="0"/>
    </xf>
    <xf numFmtId="165" fontId="7" fillId="2" borderId="52" xfId="1" applyNumberFormat="1" applyFont="1" applyFill="1" applyBorder="1" applyAlignment="1" applyProtection="1">
      <alignment horizontal="center" vertical="center"/>
      <protection locked="0"/>
    </xf>
    <xf numFmtId="165" fontId="7" fillId="2" borderId="53" xfId="1" applyNumberFormat="1" applyFont="1" applyFill="1" applyBorder="1" applyAlignment="1" applyProtection="1">
      <alignment horizontal="center" vertical="center"/>
      <protection locked="0"/>
    </xf>
    <xf numFmtId="165" fontId="7" fillId="2" borderId="54" xfId="1" applyNumberFormat="1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7" fillId="9" borderId="2" xfId="1" applyNumberFormat="1" applyFont="1" applyFill="1" applyBorder="1" applyAlignment="1">
      <alignment horizontal="center" vertical="center"/>
    </xf>
    <xf numFmtId="165" fontId="7" fillId="9" borderId="3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readingOrder="2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7" fillId="9" borderId="9" xfId="1" applyNumberFormat="1" applyFont="1" applyFill="1" applyBorder="1" applyAlignment="1">
      <alignment horizontal="center" vertical="center"/>
    </xf>
    <xf numFmtId="165" fontId="7" fillId="9" borderId="51" xfId="1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/>
    </xf>
    <xf numFmtId="165" fontId="4" fillId="12" borderId="23" xfId="1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 wrapText="1"/>
    </xf>
    <xf numFmtId="165" fontId="4" fillId="12" borderId="23" xfId="1" applyNumberFormat="1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165" fontId="17" fillId="0" borderId="40" xfId="1" applyNumberFormat="1" applyFont="1" applyBorder="1" applyAlignment="1">
      <alignment horizontal="right" vertical="center" wrapText="1" readingOrder="1"/>
    </xf>
    <xf numFmtId="0" fontId="15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37" fontId="16" fillId="0" borderId="42" xfId="1" applyNumberFormat="1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7F0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9"/>
  <sheetViews>
    <sheetView rightToLeft="1" topLeftCell="A19" zoomScaleNormal="100" workbookViewId="0">
      <selection activeCell="A2" sqref="A1:L2"/>
    </sheetView>
  </sheetViews>
  <sheetFormatPr defaultColWidth="9.140625" defaultRowHeight="14.25"/>
  <cols>
    <col min="1" max="1" width="7.7109375" style="3" customWidth="1"/>
    <col min="2" max="3" width="18.5703125" style="3" customWidth="1"/>
    <col min="4" max="4" width="17" style="3" customWidth="1"/>
    <col min="5" max="7" width="13.42578125" style="3" customWidth="1"/>
    <col min="8" max="8" width="17" style="3" customWidth="1"/>
    <col min="9" max="15" width="17" style="5" customWidth="1"/>
    <col min="16" max="16" width="17" style="3" customWidth="1"/>
    <col min="17" max="18" width="9.140625" style="3"/>
    <col min="19" max="19" width="19.85546875" style="3" bestFit="1" customWidth="1"/>
    <col min="20" max="20" width="12.85546875" style="3" bestFit="1" customWidth="1"/>
    <col min="21" max="16384" width="9.140625" style="3"/>
  </cols>
  <sheetData>
    <row r="1" spans="1:20" ht="45" customHeight="1" thickBo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"/>
      <c r="N1" s="76"/>
      <c r="O1" s="76"/>
      <c r="P1" s="76"/>
    </row>
    <row r="2" spans="1:20" s="78" customFormat="1" ht="27" thickBot="1">
      <c r="A2" s="108"/>
      <c r="B2" s="108"/>
      <c r="C2" s="108"/>
      <c r="D2" s="108"/>
      <c r="E2" s="108"/>
      <c r="F2" s="108"/>
      <c r="G2" s="108"/>
      <c r="H2" s="84" t="s">
        <v>68</v>
      </c>
      <c r="I2" s="84" t="s">
        <v>71</v>
      </c>
      <c r="J2" s="108"/>
      <c r="K2" s="108"/>
      <c r="L2" s="108"/>
      <c r="M2" s="77"/>
      <c r="N2" s="77"/>
      <c r="O2" s="77"/>
      <c r="P2" s="77"/>
    </row>
    <row r="3" spans="1:20" ht="9.75" customHeight="1" thickBot="1">
      <c r="A3" s="114"/>
      <c r="B3" s="109" t="s">
        <v>92</v>
      </c>
      <c r="C3" s="110"/>
      <c r="D3" s="83" t="s">
        <v>65</v>
      </c>
      <c r="E3" s="84" t="s">
        <v>66</v>
      </c>
      <c r="F3" s="84" t="s">
        <v>67</v>
      </c>
      <c r="G3" s="84" t="s">
        <v>69</v>
      </c>
      <c r="H3" s="82">
        <v>5000000</v>
      </c>
      <c r="I3" s="82">
        <v>94000</v>
      </c>
      <c r="J3" s="85" t="s">
        <v>91</v>
      </c>
      <c r="K3" s="115"/>
      <c r="L3" s="116"/>
      <c r="M3" s="104"/>
      <c r="N3" s="104"/>
      <c r="O3" s="104"/>
      <c r="P3" s="104"/>
    </row>
    <row r="4" spans="1:20" s="105" customFormat="1" ht="24" thickBot="1">
      <c r="A4" s="114"/>
      <c r="B4" s="111"/>
      <c r="C4" s="112"/>
      <c r="D4" s="81">
        <v>3463656</v>
      </c>
      <c r="E4" s="82">
        <v>22000000</v>
      </c>
      <c r="F4" s="82">
        <v>9000000</v>
      </c>
      <c r="G4" s="82">
        <v>10390968</v>
      </c>
      <c r="H4" s="107"/>
      <c r="I4" s="107"/>
      <c r="J4" s="80">
        <v>32</v>
      </c>
      <c r="K4" s="115"/>
      <c r="L4" s="116"/>
      <c r="M4" s="5"/>
      <c r="N4" s="5"/>
      <c r="O4" s="5"/>
      <c r="P4" s="5"/>
    </row>
    <row r="5" spans="1:20" ht="13.5" customHeight="1">
      <c r="A5" s="106" t="s">
        <v>37</v>
      </c>
      <c r="B5" s="107"/>
      <c r="C5" s="107"/>
      <c r="D5" s="107"/>
      <c r="E5" s="107"/>
      <c r="F5" s="107"/>
      <c r="G5" s="107"/>
      <c r="H5" s="72" t="s">
        <v>81</v>
      </c>
      <c r="I5" s="73" t="s">
        <v>80</v>
      </c>
      <c r="J5" s="107"/>
      <c r="K5" s="107"/>
      <c r="L5" s="107"/>
      <c r="M5" s="79"/>
      <c r="N5" s="79"/>
      <c r="O5" s="70"/>
      <c r="P5" s="79"/>
    </row>
    <row r="6" spans="1:20" ht="27" customHeight="1">
      <c r="A6" s="72" t="s">
        <v>52</v>
      </c>
      <c r="B6" s="72" t="s">
        <v>0</v>
      </c>
      <c r="C6" s="72" t="s">
        <v>1</v>
      </c>
      <c r="D6" s="72" t="s">
        <v>2</v>
      </c>
      <c r="E6" s="72" t="s">
        <v>87</v>
      </c>
      <c r="F6" s="72" t="s">
        <v>73</v>
      </c>
      <c r="G6" s="72" t="s">
        <v>72</v>
      </c>
      <c r="H6" s="9">
        <v>0</v>
      </c>
      <c r="I6" s="9">
        <f>D4*30</f>
        <v>103909680</v>
      </c>
      <c r="J6" s="73" t="s">
        <v>65</v>
      </c>
      <c r="K6" s="73" t="s">
        <v>76</v>
      </c>
      <c r="L6" s="73" t="s">
        <v>77</v>
      </c>
      <c r="M6" s="79"/>
      <c r="N6" s="79"/>
      <c r="O6" s="71"/>
    </row>
    <row r="7" spans="1:20" ht="16.5" customHeight="1">
      <c r="A7" s="6">
        <v>1</v>
      </c>
      <c r="B7" s="7" t="s">
        <v>46</v>
      </c>
      <c r="C7" s="7" t="s">
        <v>47</v>
      </c>
      <c r="D7" s="8"/>
      <c r="E7" s="7">
        <v>1</v>
      </c>
      <c r="F7" s="7">
        <v>0</v>
      </c>
      <c r="G7" s="7">
        <v>0</v>
      </c>
      <c r="H7" s="12">
        <v>0</v>
      </c>
      <c r="I7" s="12">
        <f>D4*30</f>
        <v>103909680</v>
      </c>
      <c r="J7" s="9">
        <f>I6/30</f>
        <v>3463656</v>
      </c>
      <c r="K7" s="9">
        <f>IF(I6&gt;0,F4,0)/30</f>
        <v>300000</v>
      </c>
      <c r="L7" s="9">
        <f>IF(I6&gt;0,E4,0)/30</f>
        <v>733333.33333333337</v>
      </c>
      <c r="M7" s="107"/>
      <c r="N7" s="107"/>
      <c r="O7" s="107"/>
      <c r="P7" s="107"/>
    </row>
    <row r="8" spans="1:20" ht="30">
      <c r="A8" s="6">
        <v>2</v>
      </c>
      <c r="B8" s="10" t="s">
        <v>48</v>
      </c>
      <c r="C8" s="10" t="s">
        <v>49</v>
      </c>
      <c r="D8" s="11"/>
      <c r="E8" s="10">
        <v>0</v>
      </c>
      <c r="F8" s="10">
        <v>0</v>
      </c>
      <c r="G8" s="10">
        <v>0</v>
      </c>
      <c r="H8" s="9">
        <v>0</v>
      </c>
      <c r="I8" s="9">
        <f>D4*30</f>
        <v>103909680</v>
      </c>
      <c r="J8" s="12">
        <f t="shared" ref="J8:J16" si="0">I7/30</f>
        <v>3463656</v>
      </c>
      <c r="K8" s="12">
        <f>IF(I7&gt;0,F4,0)/30</f>
        <v>300000</v>
      </c>
      <c r="L8" s="12">
        <f>IF(I7&gt;0,E4,0)/30</f>
        <v>733333.33333333337</v>
      </c>
      <c r="M8" s="73" t="s">
        <v>78</v>
      </c>
      <c r="N8" s="73" t="s">
        <v>79</v>
      </c>
      <c r="O8" s="73" t="s">
        <v>71</v>
      </c>
      <c r="P8" s="72" t="s">
        <v>82</v>
      </c>
    </row>
    <row r="9" spans="1:20" s="74" customFormat="1" ht="15.75">
      <c r="A9" s="6">
        <v>3</v>
      </c>
      <c r="B9" s="7" t="s">
        <v>50</v>
      </c>
      <c r="C9" s="7" t="s">
        <v>51</v>
      </c>
      <c r="D9" s="8"/>
      <c r="E9" s="7">
        <v>1</v>
      </c>
      <c r="F9" s="7">
        <v>1</v>
      </c>
      <c r="G9" s="7">
        <v>0</v>
      </c>
      <c r="H9" s="12">
        <v>0</v>
      </c>
      <c r="I9" s="12">
        <f>D4*30</f>
        <v>103909680</v>
      </c>
      <c r="J9" s="9">
        <f t="shared" si="0"/>
        <v>3463656</v>
      </c>
      <c r="K9" s="9">
        <f>IF(I8&gt;0,F4,0)/30</f>
        <v>300000</v>
      </c>
      <c r="L9" s="9">
        <f>IF(I8&gt;0,E4,0)/30</f>
        <v>733333.33333333337</v>
      </c>
      <c r="M9" s="9">
        <f>IF(AND(F7=1, I6&gt;0),H3,0)/30</f>
        <v>0</v>
      </c>
      <c r="N9" s="9">
        <f>G4*G7/30</f>
        <v>0</v>
      </c>
      <c r="O9" s="9">
        <f>IF(E7=1,H6+H6*J4/100+I3,0)</f>
        <v>94000</v>
      </c>
      <c r="P9" s="9">
        <v>0</v>
      </c>
      <c r="S9" s="74" t="s">
        <v>28</v>
      </c>
      <c r="T9" s="74" t="s">
        <v>9</v>
      </c>
    </row>
    <row r="10" spans="1:20" ht="27" customHeight="1">
      <c r="A10" s="6">
        <v>4</v>
      </c>
      <c r="B10" s="10" t="s">
        <v>53</v>
      </c>
      <c r="C10" s="10" t="s">
        <v>54</v>
      </c>
      <c r="D10" s="11"/>
      <c r="E10" s="10">
        <v>0</v>
      </c>
      <c r="F10" s="10">
        <v>1</v>
      </c>
      <c r="G10" s="10">
        <v>1</v>
      </c>
      <c r="H10" s="9">
        <v>70000</v>
      </c>
      <c r="I10" s="9">
        <f>D4*30</f>
        <v>103909680</v>
      </c>
      <c r="J10" s="12">
        <f t="shared" si="0"/>
        <v>3463656</v>
      </c>
      <c r="K10" s="12">
        <f>IF(I9&gt;0,F4,0)/30</f>
        <v>300000</v>
      </c>
      <c r="L10" s="12">
        <f>IF(I9&gt;0,E4,0)/30</f>
        <v>733333.33333333337</v>
      </c>
      <c r="M10" s="12">
        <f>IF(AND(F8=1, I7&gt;0),H3,0)/30</f>
        <v>0</v>
      </c>
      <c r="N10" s="12">
        <f>G4*G8/30</f>
        <v>0</v>
      </c>
      <c r="O10" s="12">
        <f>IF(E8=1,H7+H7*J4/100+I3,0)</f>
        <v>0</v>
      </c>
      <c r="P10" s="12">
        <v>0</v>
      </c>
      <c r="S10" s="3" t="str">
        <f t="shared" ref="S10:S19" si="1">CONCATENATE(B7," ",C7)</f>
        <v>علی حسینی</v>
      </c>
      <c r="T10" s="4">
        <f t="shared" ref="T10:T19" si="2">K7+L7</f>
        <v>1033333.3333333334</v>
      </c>
    </row>
    <row r="11" spans="1:20" ht="27" customHeight="1">
      <c r="A11" s="6">
        <v>5</v>
      </c>
      <c r="B11" s="7" t="s">
        <v>45</v>
      </c>
      <c r="C11" s="7" t="s">
        <v>55</v>
      </c>
      <c r="D11" s="8"/>
      <c r="E11" s="7">
        <v>1</v>
      </c>
      <c r="F11" s="7">
        <v>0</v>
      </c>
      <c r="G11" s="7">
        <v>0</v>
      </c>
      <c r="H11" s="12"/>
      <c r="I11" s="12">
        <f>D4*30</f>
        <v>103909680</v>
      </c>
      <c r="J11" s="9">
        <f t="shared" si="0"/>
        <v>3463656</v>
      </c>
      <c r="K11" s="9">
        <f>IF(I10&gt;0,F4,0)/30</f>
        <v>300000</v>
      </c>
      <c r="L11" s="9">
        <f>IF(I10&gt;0,E4,0)/30</f>
        <v>733333.33333333337</v>
      </c>
      <c r="M11" s="9">
        <f>IF(AND(F9=1, I8&gt;0),H3,0)/30</f>
        <v>166666.66666666666</v>
      </c>
      <c r="N11" s="9">
        <f>G4*G9/30</f>
        <v>0</v>
      </c>
      <c r="O11" s="9">
        <f>IF(E9=1,H8+H8*J4/100+I3,0)</f>
        <v>94000</v>
      </c>
      <c r="P11" s="9">
        <v>0</v>
      </c>
      <c r="S11" s="3" t="str">
        <f t="shared" si="1"/>
        <v>احمد تابان</v>
      </c>
      <c r="T11" s="4">
        <f t="shared" si="2"/>
        <v>1033333.3333333334</v>
      </c>
    </row>
    <row r="12" spans="1:20" ht="27" customHeight="1">
      <c r="A12" s="6">
        <v>6</v>
      </c>
      <c r="B12" s="10"/>
      <c r="C12" s="10"/>
      <c r="D12" s="11"/>
      <c r="E12" s="10"/>
      <c r="F12" s="10"/>
      <c r="G12" s="10"/>
      <c r="H12" s="9"/>
      <c r="I12" s="9">
        <f>D4*30</f>
        <v>103909680</v>
      </c>
      <c r="J12" s="12">
        <f t="shared" si="0"/>
        <v>3463656</v>
      </c>
      <c r="K12" s="12">
        <f>IF(I11&gt;0,F4,0)/30</f>
        <v>300000</v>
      </c>
      <c r="L12" s="12">
        <f>IF(I11&gt;0,E4,0)/30</f>
        <v>733333.33333333337</v>
      </c>
      <c r="M12" s="12">
        <f>IF(AND(F10=1, I9&gt;0),H3,0)/30</f>
        <v>166666.66666666666</v>
      </c>
      <c r="N12" s="12">
        <f>G4*G10/30</f>
        <v>346365.6</v>
      </c>
      <c r="O12" s="12">
        <f>IF(E10=1,H9+H9*J4/100+I3,0)</f>
        <v>0</v>
      </c>
      <c r="P12" s="12">
        <v>0</v>
      </c>
      <c r="S12" s="3" t="str">
        <f t="shared" si="1"/>
        <v>مریم  صدر</v>
      </c>
      <c r="T12" s="4">
        <f t="shared" si="2"/>
        <v>1033333.3333333334</v>
      </c>
    </row>
    <row r="13" spans="1:20" ht="27" customHeight="1">
      <c r="A13" s="6">
        <v>7</v>
      </c>
      <c r="B13" s="7"/>
      <c r="C13" s="7"/>
      <c r="D13" s="8"/>
      <c r="E13" s="7"/>
      <c r="F13" s="7"/>
      <c r="G13" s="7"/>
      <c r="H13" s="12"/>
      <c r="I13" s="12">
        <f>D4*30</f>
        <v>103909680</v>
      </c>
      <c r="J13" s="9">
        <f t="shared" si="0"/>
        <v>3463656</v>
      </c>
      <c r="K13" s="9">
        <f>IF(I12&gt;0,F4,0)/30</f>
        <v>300000</v>
      </c>
      <c r="L13" s="9">
        <f>IF(I12&gt;0,E4,0)/30</f>
        <v>733333.33333333337</v>
      </c>
      <c r="M13" s="9">
        <f>IF(AND(F11=1, I10&gt;0),H3,0)/30</f>
        <v>0</v>
      </c>
      <c r="N13" s="9">
        <f>G4*G11/30</f>
        <v>0</v>
      </c>
      <c r="O13" s="9">
        <f>IF(E11=1,H10+H10*J4/100+I3,0)</f>
        <v>186400</v>
      </c>
      <c r="P13" s="9">
        <v>0</v>
      </c>
      <c r="S13" s="3" t="str">
        <f t="shared" si="1"/>
        <v>مسعود کمانی</v>
      </c>
      <c r="T13" s="4">
        <f t="shared" si="2"/>
        <v>1033333.3333333334</v>
      </c>
    </row>
    <row r="14" spans="1:20" ht="27" customHeight="1">
      <c r="A14" s="6">
        <v>8</v>
      </c>
      <c r="B14" s="10"/>
      <c r="C14" s="10"/>
      <c r="D14" s="11"/>
      <c r="E14" s="10"/>
      <c r="F14" s="10"/>
      <c r="G14" s="10"/>
      <c r="H14" s="9"/>
      <c r="I14" s="9">
        <f>D4*30</f>
        <v>103909680</v>
      </c>
      <c r="J14" s="12">
        <f t="shared" si="0"/>
        <v>3463656</v>
      </c>
      <c r="K14" s="12">
        <f>IF(I13&gt;0,F4,0)/30</f>
        <v>300000</v>
      </c>
      <c r="L14" s="12">
        <f>IF(I13&gt;0,E4,0)/30</f>
        <v>733333.33333333337</v>
      </c>
      <c r="M14" s="12">
        <f>IF(AND(F12=1, I11&gt;0),H3,0)/30</f>
        <v>0</v>
      </c>
      <c r="N14" s="12">
        <f>G4*G12/30</f>
        <v>0</v>
      </c>
      <c r="O14" s="12">
        <f>IF(E12=1,H11+H11*J4/100+I3,0)</f>
        <v>0</v>
      </c>
      <c r="P14" s="12">
        <v>0</v>
      </c>
      <c r="S14" s="3" t="str">
        <f t="shared" si="1"/>
        <v>کاوه بابا احمدی</v>
      </c>
      <c r="T14" s="4">
        <f t="shared" si="2"/>
        <v>1033333.3333333334</v>
      </c>
    </row>
    <row r="15" spans="1:20" ht="27" customHeight="1">
      <c r="A15" s="6">
        <v>9</v>
      </c>
      <c r="B15" s="7"/>
      <c r="C15" s="7"/>
      <c r="D15" s="8"/>
      <c r="E15" s="7"/>
      <c r="F15" s="7"/>
      <c r="G15" s="7"/>
      <c r="H15" s="12"/>
      <c r="I15" s="12">
        <f>D4*30</f>
        <v>103909680</v>
      </c>
      <c r="J15" s="9">
        <f t="shared" si="0"/>
        <v>3463656</v>
      </c>
      <c r="K15" s="9">
        <f>IF(I14&gt;0,F4,0)/30</f>
        <v>300000</v>
      </c>
      <c r="L15" s="9">
        <f>IF(I14&gt;0,E4,0)/30</f>
        <v>733333.33333333337</v>
      </c>
      <c r="M15" s="9">
        <f>IF(AND(F13=1, I12&gt;0),H3,0)/30</f>
        <v>0</v>
      </c>
      <c r="N15" s="9">
        <f>G4*G13/30</f>
        <v>0</v>
      </c>
      <c r="O15" s="9">
        <f>IF(E13=1,H12+H12*J4/100+I3,0)</f>
        <v>0</v>
      </c>
      <c r="P15" s="9">
        <v>0</v>
      </c>
      <c r="S15" s="3" t="str">
        <f t="shared" si="1"/>
        <v xml:space="preserve"> </v>
      </c>
      <c r="T15" s="4">
        <f t="shared" si="2"/>
        <v>1033333.3333333334</v>
      </c>
    </row>
    <row r="16" spans="1:20" ht="27" customHeight="1">
      <c r="A16" s="6">
        <v>10</v>
      </c>
      <c r="B16" s="10"/>
      <c r="C16" s="10"/>
      <c r="D16" s="11"/>
      <c r="E16" s="10"/>
      <c r="F16" s="10"/>
      <c r="G16" s="10"/>
      <c r="J16" s="12">
        <f t="shared" si="0"/>
        <v>3463656</v>
      </c>
      <c r="K16" s="12">
        <f>IF(I15&gt;0,F4,0)/30</f>
        <v>300000</v>
      </c>
      <c r="L16" s="12">
        <f>IF(I15&gt;0,E4,0)/30</f>
        <v>733333.33333333337</v>
      </c>
      <c r="M16" s="12">
        <f>IF(AND(F14=1, I13&gt;0),H3,0)/30</f>
        <v>0</v>
      </c>
      <c r="N16" s="12">
        <f>G4*G14/30</f>
        <v>0</v>
      </c>
      <c r="O16" s="12">
        <f>IF(E14=1,H13+H13*J4/100+I3,0)</f>
        <v>0</v>
      </c>
      <c r="P16" s="12">
        <v>0</v>
      </c>
      <c r="S16" s="3" t="str">
        <f t="shared" si="1"/>
        <v xml:space="preserve"> </v>
      </c>
      <c r="T16" s="4">
        <f t="shared" si="2"/>
        <v>1033333.3333333334</v>
      </c>
    </row>
    <row r="17" spans="13:20" ht="27" customHeight="1">
      <c r="M17" s="9">
        <f>IF(AND(F15=1, I14&gt;0),H3,0)/30</f>
        <v>0</v>
      </c>
      <c r="N17" s="9">
        <f>G4*G15/30</f>
        <v>0</v>
      </c>
      <c r="O17" s="9">
        <f>IF(E15=1,H14+H14*J4/100+I3,0)</f>
        <v>0</v>
      </c>
      <c r="P17" s="9">
        <v>0</v>
      </c>
      <c r="S17" s="3" t="str">
        <f t="shared" si="1"/>
        <v xml:space="preserve"> </v>
      </c>
      <c r="T17" s="4">
        <f t="shared" si="2"/>
        <v>1033333.3333333334</v>
      </c>
    </row>
    <row r="18" spans="13:20" ht="27" customHeight="1">
      <c r="M18" s="12">
        <f>IF(AND(F16=1, I15&gt;0),H3,0)/30</f>
        <v>0</v>
      </c>
      <c r="N18" s="12">
        <f>G4*G16/30</f>
        <v>0</v>
      </c>
      <c r="O18" s="12">
        <f>IF(E16=1,H15+H15*J4/100+I3,0)</f>
        <v>0</v>
      </c>
      <c r="P18" s="12">
        <v>0</v>
      </c>
      <c r="S18" s="3" t="str">
        <f t="shared" si="1"/>
        <v xml:space="preserve"> </v>
      </c>
      <c r="T18" s="4">
        <f t="shared" si="2"/>
        <v>1033333.3333333334</v>
      </c>
    </row>
    <row r="19" spans="13:20" ht="27" customHeight="1">
      <c r="P19" s="5"/>
      <c r="S19" s="3" t="str">
        <f t="shared" si="1"/>
        <v xml:space="preserve"> </v>
      </c>
      <c r="T19" s="4">
        <f t="shared" si="2"/>
        <v>1033333.3333333334</v>
      </c>
    </row>
  </sheetData>
  <protectedRanges>
    <protectedRange algorithmName="SHA-512" hashValue="WG2Dtse7yGvdR4rnsSK725yzrZ01sWonCkaIMFNbkvE6FLhZPPFShqQf97EV0P5C65CPVUrUBbiReubN6ZU5Pw==" saltValue="h2R/qU7xiXOiKhCcMiMAyg==" spinCount="100000" sqref="P9:P18" name="Range2"/>
    <protectedRange algorithmName="SHA-512" hashValue="AS0Vq3GsRqc97EgQqeKVnyJErTHFLCVCJmS5hDrwaCIDmYoj1TJ6kIKVyUz0aA/JwC7XxuZ9zXvv7NQUslPHfg==" saltValue="sVyoC6sg70JqVljPg4md5g==" spinCount="100000" sqref="H6:H15 B7:G16" name="Range1"/>
  </protectedRanges>
  <mergeCells count="4">
    <mergeCell ref="B3:C4"/>
    <mergeCell ref="A1:L1"/>
    <mergeCell ref="A3:A4"/>
    <mergeCell ref="K3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21"/>
  <sheetViews>
    <sheetView rightToLeft="1" view="pageBreakPreview" topLeftCell="A10" zoomScaleNormal="100" zoomScaleSheetLayoutView="100" workbookViewId="0">
      <selection activeCell="Z4" sqref="Z4:Z6"/>
    </sheetView>
  </sheetViews>
  <sheetFormatPr defaultColWidth="9" defaultRowHeight="12.75"/>
  <cols>
    <col min="1" max="1" width="6.5703125" style="16" customWidth="1"/>
    <col min="2" max="2" width="18.28515625" style="16" customWidth="1"/>
    <col min="3" max="3" width="7.85546875" style="16" bestFit="1" customWidth="1"/>
    <col min="4" max="10" width="14.42578125" style="86" customWidth="1"/>
    <col min="11" max="11" width="7.85546875" style="86" bestFit="1" customWidth="1"/>
    <col min="12" max="12" width="14.42578125" style="86" customWidth="1"/>
    <col min="13" max="14" width="5.7109375" style="86" customWidth="1"/>
    <col min="15" max="15" width="14.42578125" style="86" customWidth="1"/>
    <col min="16" max="16" width="15.7109375" style="16" customWidth="1"/>
    <col min="17" max="19" width="14.42578125" style="16" customWidth="1"/>
    <col min="20" max="20" width="6" style="86" customWidth="1"/>
    <col min="21" max="21" width="6" style="16" customWidth="1"/>
    <col min="22" max="23" width="14.42578125" style="16" customWidth="1"/>
    <col min="24" max="24" width="15.7109375" style="16" customWidth="1"/>
    <col min="25" max="25" width="10.140625" style="16" customWidth="1"/>
    <col min="26" max="26" width="15.7109375" style="16" customWidth="1"/>
    <col min="27" max="27" width="18.42578125" style="16" bestFit="1" customWidth="1"/>
    <col min="28" max="16384" width="9" style="16"/>
  </cols>
  <sheetData>
    <row r="1" spans="1:27" s="13" customFormat="1" ht="18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7" s="13" customFormat="1" ht="18">
      <c r="A2" s="119" t="s">
        <v>23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 t="s">
        <v>25</v>
      </c>
      <c r="Y2" s="119"/>
      <c r="Z2" s="119"/>
    </row>
    <row r="3" spans="1:27" s="14" customFormat="1" ht="14.25">
      <c r="A3" s="129"/>
      <c r="B3" s="129"/>
      <c r="C3" s="20" t="s">
        <v>57</v>
      </c>
      <c r="D3" s="123"/>
      <c r="E3" s="124"/>
      <c r="F3" s="124"/>
      <c r="G3" s="124"/>
      <c r="H3" s="124"/>
      <c r="I3" s="124"/>
      <c r="J3" s="125"/>
      <c r="K3" s="20" t="s">
        <v>57</v>
      </c>
      <c r="L3" s="75"/>
      <c r="M3" s="122" t="s">
        <v>57</v>
      </c>
      <c r="N3" s="122"/>
      <c r="O3" s="121"/>
      <c r="P3" s="121"/>
      <c r="Q3" s="121"/>
      <c r="R3" s="121"/>
      <c r="S3" s="126" t="s">
        <v>57</v>
      </c>
      <c r="T3" s="127"/>
      <c r="U3" s="128"/>
      <c r="V3" s="21"/>
      <c r="W3" s="20" t="s">
        <v>57</v>
      </c>
      <c r="X3" s="20" t="s">
        <v>63</v>
      </c>
      <c r="Y3" s="20" t="s">
        <v>24</v>
      </c>
      <c r="Z3" s="20">
        <v>1404</v>
      </c>
    </row>
    <row r="4" spans="1:27" s="14" customFormat="1" ht="14.25">
      <c r="A4" s="135" t="s">
        <v>26</v>
      </c>
      <c r="B4" s="137" t="s">
        <v>4</v>
      </c>
      <c r="C4" s="137" t="s">
        <v>5</v>
      </c>
      <c r="D4" s="149" t="s">
        <v>16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7" t="s">
        <v>8</v>
      </c>
      <c r="Q4" s="141" t="s">
        <v>22</v>
      </c>
      <c r="R4" s="141"/>
      <c r="S4" s="141"/>
      <c r="T4" s="141"/>
      <c r="U4" s="141"/>
      <c r="V4" s="141"/>
      <c r="W4" s="141"/>
      <c r="X4" s="131" t="s">
        <v>19</v>
      </c>
      <c r="Y4" s="133" t="s">
        <v>20</v>
      </c>
      <c r="Z4" s="139" t="s">
        <v>21</v>
      </c>
      <c r="AA4" s="144" t="s">
        <v>86</v>
      </c>
    </row>
    <row r="5" spans="1:27" s="14" customFormat="1" ht="14.25">
      <c r="A5" s="136"/>
      <c r="B5" s="138"/>
      <c r="C5" s="138"/>
      <c r="D5" s="117" t="s">
        <v>6</v>
      </c>
      <c r="E5" s="117" t="s">
        <v>83</v>
      </c>
      <c r="F5" s="117" t="s">
        <v>3</v>
      </c>
      <c r="G5" s="117" t="s">
        <v>74</v>
      </c>
      <c r="H5" s="117" t="s">
        <v>75</v>
      </c>
      <c r="I5" s="150" t="s">
        <v>70</v>
      </c>
      <c r="J5" s="117" t="s">
        <v>10</v>
      </c>
      <c r="K5" s="142" t="s">
        <v>84</v>
      </c>
      <c r="L5" s="143"/>
      <c r="M5" s="117" t="s">
        <v>7</v>
      </c>
      <c r="N5" s="117"/>
      <c r="O5" s="117"/>
      <c r="P5" s="148"/>
      <c r="Q5" s="146" t="s">
        <v>13</v>
      </c>
      <c r="R5" s="146" t="s">
        <v>14</v>
      </c>
      <c r="S5" s="146" t="s">
        <v>15</v>
      </c>
      <c r="T5" s="130" t="s">
        <v>17</v>
      </c>
      <c r="U5" s="130"/>
      <c r="V5" s="130"/>
      <c r="W5" s="130" t="s">
        <v>18</v>
      </c>
      <c r="X5" s="132"/>
      <c r="Y5" s="134"/>
      <c r="Z5" s="140"/>
      <c r="AA5" s="144"/>
    </row>
    <row r="6" spans="1:27" s="14" customFormat="1" ht="14.25">
      <c r="A6" s="136"/>
      <c r="B6" s="138"/>
      <c r="C6" s="138"/>
      <c r="D6" s="117"/>
      <c r="E6" s="117"/>
      <c r="F6" s="117"/>
      <c r="G6" s="117"/>
      <c r="H6" s="117"/>
      <c r="I6" s="149"/>
      <c r="J6" s="117"/>
      <c r="K6" s="19" t="s">
        <v>85</v>
      </c>
      <c r="L6" s="19" t="s">
        <v>12</v>
      </c>
      <c r="M6" s="19" t="s">
        <v>29</v>
      </c>
      <c r="N6" s="19" t="s">
        <v>11</v>
      </c>
      <c r="O6" s="19" t="s">
        <v>12</v>
      </c>
      <c r="P6" s="148"/>
      <c r="Q6" s="146"/>
      <c r="R6" s="146"/>
      <c r="S6" s="146"/>
      <c r="T6" s="15" t="s">
        <v>29</v>
      </c>
      <c r="U6" s="15" t="s">
        <v>11</v>
      </c>
      <c r="V6" s="15" t="s">
        <v>12</v>
      </c>
      <c r="W6" s="130"/>
      <c r="X6" s="132"/>
      <c r="Y6" s="134"/>
      <c r="Z6" s="140"/>
      <c r="AA6" s="145"/>
    </row>
    <row r="7" spans="1:27" ht="24.6" customHeight="1">
      <c r="A7" s="87">
        <v>1</v>
      </c>
      <c r="B7" s="88">
        <f>VLOOKUP(A7,قرارداد!A:S,19,0)</f>
        <v>0</v>
      </c>
      <c r="C7" s="89">
        <v>30</v>
      </c>
      <c r="D7" s="17">
        <f>((VLOOKUP(A7,قرارداد!A:J,10,0)))*C7</f>
        <v>103909680</v>
      </c>
      <c r="E7" s="17">
        <f>(VLOOKUP(A7,قرارداد!A:K,11,0))*IF(C7&gt;28,30,C7)</f>
        <v>9000000</v>
      </c>
      <c r="F7" s="17">
        <f>(VLOOKUP(A7,قرارداد!A:L,12,0))*IF(C7&gt;28,30,C7)</f>
        <v>22000000</v>
      </c>
      <c r="G7" s="17">
        <f>(VLOOKUP(A7,قرارداد!A:M,13,0))*IF(C7&gt;28,30,C7)</f>
        <v>0</v>
      </c>
      <c r="H7" s="17">
        <f>(VLOOKUP(A7,قرارداد!A:N,14,0))*IF(C7&gt;28,30,C7)</f>
        <v>0</v>
      </c>
      <c r="I7" s="17">
        <f>(VLOOKUP(A7,قرارداد!A:O,15,0))*C7</f>
        <v>0</v>
      </c>
      <c r="J7" s="17">
        <f>(VLOOKUP(A7,قرارداد!A:P,16,0))*C7</f>
        <v>0</v>
      </c>
      <c r="K7" s="90">
        <v>0</v>
      </c>
      <c r="L7" s="91">
        <f>(VLOOKUP(A7,قرارداد!A:J,10,0)*K7)</f>
        <v>0</v>
      </c>
      <c r="M7" s="92">
        <v>0</v>
      </c>
      <c r="N7" s="90">
        <v>0</v>
      </c>
      <c r="O7" s="93">
        <f>((VLOOKUP(A7,قرارداد!A:J,10,0)/7.33)+(VLOOKUP(A7,قرارداد!A:J,10,0)/7.33)*40/100)*(N7+(M7/60))</f>
        <v>0</v>
      </c>
      <c r="P7" s="94">
        <f>D7+H7+I7+J7+O7+E7+F7+G7+L7</f>
        <v>134909680</v>
      </c>
      <c r="Q7" s="17">
        <f>AA7*7/100</f>
        <v>9443677.5999999996</v>
      </c>
      <c r="R7" s="17">
        <f>VLOOKUP(A7,'جدول مالیات'!A:K,11,0)</f>
        <v>0</v>
      </c>
      <c r="S7" s="95"/>
      <c r="T7" s="92">
        <v>0</v>
      </c>
      <c r="U7" s="90">
        <v>0</v>
      </c>
      <c r="V7" s="96">
        <f>(قرارداد!J7+قرارداد!O9+قرارداد!P9)/7.33*(U7+(T7/60))</f>
        <v>0</v>
      </c>
      <c r="W7" s="95"/>
      <c r="X7" s="96">
        <f>Q7+R7+S7+V7+W7</f>
        <v>9443677.5999999996</v>
      </c>
      <c r="Y7" s="17">
        <f t="shared" ref="Y7:Y16" si="0">-(P7-X7-Z7)</f>
        <v>-2.4000000059604645</v>
      </c>
      <c r="Z7" s="96">
        <f t="shared" ref="Z7:Z16" si="1">ROUND(P7-X7,-3)</f>
        <v>125466000</v>
      </c>
      <c r="AA7" s="17">
        <f>IFERROR(IF((P7-L7-H7)&lt;(قرارداد!D4*30*7),(P7-L7-H7),(قرارداد!D4*7*C7)),0)</f>
        <v>134909680</v>
      </c>
    </row>
    <row r="8" spans="1:27" ht="24.6" customHeight="1">
      <c r="A8" s="87">
        <v>2</v>
      </c>
      <c r="B8" s="88">
        <f>VLOOKUP(A8,قرارداد!A:S,19,0)</f>
        <v>0</v>
      </c>
      <c r="C8" s="89">
        <v>30</v>
      </c>
      <c r="D8" s="17">
        <f>((VLOOKUP(A8,قرارداد!A:J,10,0)))*C8</f>
        <v>103909680</v>
      </c>
      <c r="E8" s="17">
        <f>(VLOOKUP(A8,قرارداد!A:K,11,0))*IF(C8&gt;28,30,C8)</f>
        <v>9000000</v>
      </c>
      <c r="F8" s="17">
        <f>(VLOOKUP(A8,قرارداد!A:L,12,0))*IF(C8&gt;28,30,C8)</f>
        <v>22000000</v>
      </c>
      <c r="G8" s="17" t="e">
        <f>(VLOOKUP(A8,قرارداد!A:M,13,0))*IF(C8&gt;28,30,C8)</f>
        <v>#VALUE!</v>
      </c>
      <c r="H8" s="17" t="e">
        <f>(VLOOKUP(A8,قرارداد!A:N,14,0))*IF(C8&gt;28,30,C8)</f>
        <v>#VALUE!</v>
      </c>
      <c r="I8" s="17" t="e">
        <f>(VLOOKUP(A8,قرارداد!A:O,15,0))*C8</f>
        <v>#VALUE!</v>
      </c>
      <c r="J8" s="17" t="e">
        <f>(VLOOKUP(A8,قرارداد!A:P,16,0))*C8</f>
        <v>#VALUE!</v>
      </c>
      <c r="K8" s="90">
        <v>0</v>
      </c>
      <c r="L8" s="91">
        <f>(VLOOKUP(A8,قرارداد!A:J,10,0)*K8)</f>
        <v>0</v>
      </c>
      <c r="M8" s="92">
        <v>0</v>
      </c>
      <c r="N8" s="90">
        <v>0</v>
      </c>
      <c r="O8" s="93">
        <f>((VLOOKUP(A8,قرارداد!A:J,10,0)/7.33)+(VLOOKUP(A8,قرارداد!A:J,10,0)/7.33)*40/100)*(N8+(M8/60))</f>
        <v>0</v>
      </c>
      <c r="P8" s="94" t="e">
        <f t="shared" ref="P8:P16" si="2">D8+H8+I8+J8+O8+E8+F8+G8+L8</f>
        <v>#VALUE!</v>
      </c>
      <c r="Q8" s="17">
        <f t="shared" ref="Q8:Q16" si="3">AA8*7/100</f>
        <v>0</v>
      </c>
      <c r="R8" s="17" t="e">
        <f>VLOOKUP(A8,'جدول مالیات'!A:K,11,0)</f>
        <v>#VALUE!</v>
      </c>
      <c r="S8" s="95"/>
      <c r="T8" s="92">
        <v>0</v>
      </c>
      <c r="U8" s="90">
        <v>0</v>
      </c>
      <c r="V8" s="96">
        <f>(قرارداد!J8+قرارداد!O10+قرارداد!P10)/7.33*(U8+(T8/60))</f>
        <v>0</v>
      </c>
      <c r="W8" s="95"/>
      <c r="X8" s="96" t="e">
        <f t="shared" ref="X8:X16" si="4">Q8+R8+S8+V8+W8</f>
        <v>#VALUE!</v>
      </c>
      <c r="Y8" s="17" t="e">
        <f t="shared" si="0"/>
        <v>#VALUE!</v>
      </c>
      <c r="Z8" s="96" t="e">
        <f t="shared" si="1"/>
        <v>#VALUE!</v>
      </c>
      <c r="AA8" s="17">
        <f>IFERROR(IF((P8-L8-H8)&lt;(قرارداد!D4*30*7),(P8-L8-H8),(قرارداد!D4*7*C8)),0)</f>
        <v>0</v>
      </c>
    </row>
    <row r="9" spans="1:27" ht="24.6" customHeight="1">
      <c r="A9" s="87">
        <v>3</v>
      </c>
      <c r="B9" s="88" t="str">
        <f>VLOOKUP(A9,قرارداد!A:S,19,0)</f>
        <v>نام و نام خانوادگی</v>
      </c>
      <c r="C9" s="89">
        <v>30</v>
      </c>
      <c r="D9" s="17">
        <f>((VLOOKUP(A9,قرارداد!A:J,10,0)))*C9</f>
        <v>103909680</v>
      </c>
      <c r="E9" s="17">
        <f>(VLOOKUP(A9,قرارداد!A:K,11,0))*IF(C9&gt;28,30,C9)</f>
        <v>9000000</v>
      </c>
      <c r="F9" s="17">
        <f>(VLOOKUP(A9,قرارداد!A:L,12,0))*IF(C9&gt;28,30,C9)</f>
        <v>22000000</v>
      </c>
      <c r="G9" s="17">
        <f>(VLOOKUP(A9,قرارداد!A:M,13,0))*IF(C9&gt;28,30,C9)</f>
        <v>0</v>
      </c>
      <c r="H9" s="17">
        <f>(VLOOKUP(A9,قرارداد!A:N,14,0))*IF(C9&gt;28,30,C9)</f>
        <v>0</v>
      </c>
      <c r="I9" s="17">
        <f>(VLOOKUP(A9,قرارداد!A:O,15,0))*C9</f>
        <v>2820000</v>
      </c>
      <c r="J9" s="17">
        <f>(VLOOKUP(A9,قرارداد!A:P,16,0))*C9</f>
        <v>0</v>
      </c>
      <c r="K9" s="90">
        <v>0</v>
      </c>
      <c r="L9" s="91">
        <f>(VLOOKUP(A9,قرارداد!A:J,10,0)*K9)</f>
        <v>0</v>
      </c>
      <c r="M9" s="92">
        <v>0</v>
      </c>
      <c r="N9" s="90">
        <v>0</v>
      </c>
      <c r="O9" s="93">
        <f>((VLOOKUP(A9,قرارداد!A:J,10,0)/7.33)+(VLOOKUP(A9,قرارداد!A:J,10,0)/7.33)*40/100)*(N9+(M9/60))</f>
        <v>0</v>
      </c>
      <c r="P9" s="94">
        <f t="shared" si="2"/>
        <v>137729680</v>
      </c>
      <c r="Q9" s="17">
        <f t="shared" si="3"/>
        <v>9641077.5999999996</v>
      </c>
      <c r="R9" s="17">
        <f>VLOOKUP(A9,'جدول مالیات'!A:K,11,0)</f>
        <v>0</v>
      </c>
      <c r="S9" s="95"/>
      <c r="T9" s="92">
        <v>0</v>
      </c>
      <c r="U9" s="90">
        <v>0</v>
      </c>
      <c r="V9" s="96">
        <f>(قرارداد!J9+قرارداد!O11+قرارداد!P11)/7.33*(U9+(T9/60))</f>
        <v>0</v>
      </c>
      <c r="W9" s="95"/>
      <c r="X9" s="96">
        <f t="shared" si="4"/>
        <v>9641077.5999999996</v>
      </c>
      <c r="Y9" s="17">
        <f t="shared" si="0"/>
        <v>397.59999999403954</v>
      </c>
      <c r="Z9" s="96">
        <f t="shared" si="1"/>
        <v>128089000</v>
      </c>
      <c r="AA9" s="17">
        <f>IFERROR(IF((P9-L9-H9)&lt;(قرارداد!D4*30*7),(P9-L9-H9),(قرارداد!D4*7*C9)),0)</f>
        <v>137729680</v>
      </c>
    </row>
    <row r="10" spans="1:27" ht="24.6" customHeight="1">
      <c r="A10" s="87">
        <v>4</v>
      </c>
      <c r="B10" s="88" t="str">
        <f>VLOOKUP(A10,قرارداد!A:S,19,0)</f>
        <v>علی حسینی</v>
      </c>
      <c r="C10" s="89">
        <v>30</v>
      </c>
      <c r="D10" s="17">
        <f>((VLOOKUP(A10,قرارداد!A:J,10,0)))*C10</f>
        <v>103909680</v>
      </c>
      <c r="E10" s="17">
        <f>(VLOOKUP(A10,قرارداد!A:K,11,0))*IF(C10&gt;28,30,C10)</f>
        <v>9000000</v>
      </c>
      <c r="F10" s="17">
        <f>(VLOOKUP(A10,قرارداد!A:L,12,0))*IF(C10&gt;28,30,C10)</f>
        <v>22000000</v>
      </c>
      <c r="G10" s="17">
        <f>(VLOOKUP(A10,قرارداد!A:M,13,0))*IF(C10&gt;28,30,C10)</f>
        <v>0</v>
      </c>
      <c r="H10" s="17">
        <f>(VLOOKUP(A10,قرارداد!A:N,14,0))*IF(C10&gt;28,30,C10)</f>
        <v>0</v>
      </c>
      <c r="I10" s="17">
        <f>(VLOOKUP(A10,قرارداد!A:O,15,0))*C10</f>
        <v>0</v>
      </c>
      <c r="J10" s="17">
        <f>(VLOOKUP(A10,قرارداد!A:P,16,0))*C10</f>
        <v>0</v>
      </c>
      <c r="K10" s="90">
        <v>0</v>
      </c>
      <c r="L10" s="91">
        <f>(VLOOKUP(A10,قرارداد!A:J,10,0)*K10)</f>
        <v>0</v>
      </c>
      <c r="M10" s="92">
        <v>0</v>
      </c>
      <c r="N10" s="90">
        <v>0</v>
      </c>
      <c r="O10" s="93">
        <f>((VLOOKUP(A10,قرارداد!A:J,10,0)/7.33)+(VLOOKUP(A10,قرارداد!A:J,10,0)/7.33)*40/100)*(N10+(M10/60))</f>
        <v>0</v>
      </c>
      <c r="P10" s="94">
        <f t="shared" si="2"/>
        <v>134909680</v>
      </c>
      <c r="Q10" s="17">
        <f t="shared" si="3"/>
        <v>9443677.5999999996</v>
      </c>
      <c r="R10" s="17">
        <f>VLOOKUP(A10,'جدول مالیات'!A:K,11,0)</f>
        <v>0</v>
      </c>
      <c r="S10" s="95"/>
      <c r="T10" s="92">
        <v>0</v>
      </c>
      <c r="U10" s="90">
        <v>0</v>
      </c>
      <c r="V10" s="96">
        <f>(قرارداد!J10+قرارداد!O12+قرارداد!P12)/7.33*(U10+(T10/60))</f>
        <v>0</v>
      </c>
      <c r="W10" s="95"/>
      <c r="X10" s="96">
        <f t="shared" si="4"/>
        <v>9443677.5999999996</v>
      </c>
      <c r="Y10" s="17">
        <f t="shared" si="0"/>
        <v>-2.4000000059604645</v>
      </c>
      <c r="Z10" s="96">
        <f t="shared" si="1"/>
        <v>125466000</v>
      </c>
      <c r="AA10" s="17">
        <f>IFERROR(IF((P10-L10-H10)&lt;(قرارداد!D4*30*7),(P10-L10-H10),(قرارداد!D4*7*C10)),0)</f>
        <v>134909680</v>
      </c>
    </row>
    <row r="11" spans="1:27" ht="24.6" customHeight="1">
      <c r="A11" s="87">
        <v>5</v>
      </c>
      <c r="B11" s="88" t="str">
        <f>VLOOKUP(A11,قرارداد!A:S,19,0)</f>
        <v>احمد تابان</v>
      </c>
      <c r="C11" s="89">
        <v>30</v>
      </c>
      <c r="D11" s="17">
        <f>((VLOOKUP(A11,قرارداد!A:J,10,0)))*C11</f>
        <v>103909680</v>
      </c>
      <c r="E11" s="17">
        <f>(VLOOKUP(A11,قرارداد!A:K,11,0))*IF(C11&gt;28,30,C11)</f>
        <v>9000000</v>
      </c>
      <c r="F11" s="17">
        <f>(VLOOKUP(A11,قرارداد!A:L,12,0))*IF(C11&gt;28,30,C11)</f>
        <v>22000000</v>
      </c>
      <c r="G11" s="17">
        <f>(VLOOKUP(A11,قرارداد!A:M,13,0))*IF(C11&gt;28,30,C11)</f>
        <v>5000000</v>
      </c>
      <c r="H11" s="17">
        <f>(VLOOKUP(A11,قرارداد!A:N,14,0))*IF(C11&gt;28,30,C11)</f>
        <v>0</v>
      </c>
      <c r="I11" s="17">
        <f>(VLOOKUP(A11,قرارداد!A:O,15,0))*C11</f>
        <v>2820000</v>
      </c>
      <c r="J11" s="17">
        <f>(VLOOKUP(A11,قرارداد!A:P,16,0))*C11</f>
        <v>0</v>
      </c>
      <c r="K11" s="90">
        <v>0</v>
      </c>
      <c r="L11" s="91">
        <f>(VLOOKUP(A11,قرارداد!A:J,10,0)*K11)</f>
        <v>0</v>
      </c>
      <c r="M11" s="92">
        <v>0</v>
      </c>
      <c r="N11" s="90">
        <v>0</v>
      </c>
      <c r="O11" s="93">
        <f>((VLOOKUP(A11,قرارداد!A:J,10,0)/7.33)+(VLOOKUP(A11,قرارداد!A:J,10,0)/7.33)*40/100)*(N11+(M11/60))</f>
        <v>0</v>
      </c>
      <c r="P11" s="94">
        <f t="shared" si="2"/>
        <v>142729680</v>
      </c>
      <c r="Q11" s="17">
        <f t="shared" si="3"/>
        <v>9991077.5999999996</v>
      </c>
      <c r="R11" s="17">
        <f>VLOOKUP(A11,'جدول مالیات'!A:K,11,0)</f>
        <v>0</v>
      </c>
      <c r="S11" s="95"/>
      <c r="T11" s="92">
        <v>0</v>
      </c>
      <c r="U11" s="90">
        <v>0</v>
      </c>
      <c r="V11" s="96">
        <f>(قرارداد!J11+قرارداد!O13+قرارداد!P13)/7.33*(U11+(T11/60))</f>
        <v>0</v>
      </c>
      <c r="W11" s="95"/>
      <c r="X11" s="96">
        <f t="shared" si="4"/>
        <v>9991077.5999999996</v>
      </c>
      <c r="Y11" s="17">
        <f t="shared" si="0"/>
        <v>397.59999999403954</v>
      </c>
      <c r="Z11" s="96">
        <f t="shared" si="1"/>
        <v>132739000</v>
      </c>
      <c r="AA11" s="17">
        <f>IFERROR(IF((P11-L11-H11)&lt;(قرارداد!D4*30*7),(P11-L11-H11),(قرارداد!D4*7*C11)),0)</f>
        <v>142729680</v>
      </c>
    </row>
    <row r="12" spans="1:27" ht="24.6" customHeight="1">
      <c r="A12" s="87">
        <v>6</v>
      </c>
      <c r="B12" s="88" t="str">
        <f>VLOOKUP(A12,قرارداد!A:S,19,0)</f>
        <v>مریم  صدر</v>
      </c>
      <c r="C12" s="89"/>
      <c r="D12" s="17">
        <f>((VLOOKUP(A12,قرارداد!A:J,10,0)))*C12</f>
        <v>0</v>
      </c>
      <c r="E12" s="17">
        <f>(VLOOKUP(A12,قرارداد!A:K,11,0))*IF(C12&gt;28,30,C12)</f>
        <v>0</v>
      </c>
      <c r="F12" s="17">
        <f>(VLOOKUP(A12,قرارداد!A:L,12,0))*IF(C12&gt;28,30,C12)</f>
        <v>0</v>
      </c>
      <c r="G12" s="17">
        <f>(VLOOKUP(A12,قرارداد!A:M,13,0))*IF(C12&gt;28,30,C12)</f>
        <v>0</v>
      </c>
      <c r="H12" s="17">
        <f>(VLOOKUP(A12,قرارداد!A:N,14,0))*IF(C12&gt;28,30,C12)</f>
        <v>0</v>
      </c>
      <c r="I12" s="17">
        <f>(VLOOKUP(A12,قرارداد!A:O,15,0))*C12</f>
        <v>0</v>
      </c>
      <c r="J12" s="17">
        <f>(VLOOKUP(A12,قرارداد!A:P,16,0))*C12</f>
        <v>0</v>
      </c>
      <c r="K12" s="90"/>
      <c r="L12" s="91">
        <f>(VLOOKUP(A12,قرارداد!A:J,10,0)*K12)</f>
        <v>0</v>
      </c>
      <c r="M12" s="92">
        <v>0</v>
      </c>
      <c r="N12" s="90">
        <v>0</v>
      </c>
      <c r="O12" s="93">
        <f>((VLOOKUP(A12,قرارداد!A:J,10,0)/7.33)+(VLOOKUP(A12,قرارداد!A:J,10,0)/7.33)*40/100)*(N12+(M12/60))</f>
        <v>0</v>
      </c>
      <c r="P12" s="94">
        <f t="shared" si="2"/>
        <v>0</v>
      </c>
      <c r="Q12" s="17">
        <f t="shared" si="3"/>
        <v>0</v>
      </c>
      <c r="R12" s="17">
        <f>VLOOKUP(A12,'جدول مالیات'!A:K,11,0)</f>
        <v>0</v>
      </c>
      <c r="S12" s="95"/>
      <c r="T12" s="92">
        <v>0</v>
      </c>
      <c r="U12" s="90">
        <v>0</v>
      </c>
      <c r="V12" s="96">
        <f>(قرارداد!J12+قرارداد!O14+قرارداد!P14)/7.33*(U12+(T12/60))</f>
        <v>0</v>
      </c>
      <c r="W12" s="95"/>
      <c r="X12" s="96">
        <f t="shared" si="4"/>
        <v>0</v>
      </c>
      <c r="Y12" s="17">
        <f t="shared" si="0"/>
        <v>0</v>
      </c>
      <c r="Z12" s="96">
        <f t="shared" si="1"/>
        <v>0</v>
      </c>
      <c r="AA12" s="17">
        <f>IFERROR(IF((P12-L12-H12)&lt;(قرارداد!D4*30*7),(P12-L12-H12),(قرارداد!D4*7*C12)),0)</f>
        <v>0</v>
      </c>
    </row>
    <row r="13" spans="1:27" ht="24.6" customHeight="1">
      <c r="A13" s="87">
        <v>7</v>
      </c>
      <c r="B13" s="88" t="str">
        <f>VLOOKUP(A13,قرارداد!A:S,19,0)</f>
        <v>مسعود کمانی</v>
      </c>
      <c r="C13" s="89"/>
      <c r="D13" s="17">
        <f>((VLOOKUP(A13,قرارداد!A:J,10,0)))*C13</f>
        <v>0</v>
      </c>
      <c r="E13" s="17">
        <f>(VLOOKUP(A13,قرارداد!A:K,11,0))*IF(C13&gt;28,30,C13)</f>
        <v>0</v>
      </c>
      <c r="F13" s="17">
        <f>(VLOOKUP(A13,قرارداد!A:L,12,0))*IF(C13&gt;28,30,C13)</f>
        <v>0</v>
      </c>
      <c r="G13" s="17">
        <f>(VLOOKUP(A13,قرارداد!A:M,13,0))*IF(C13&gt;28,30,C13)</f>
        <v>0</v>
      </c>
      <c r="H13" s="17">
        <f>(VLOOKUP(A13,قرارداد!A:N,14,0))*IF(C13&gt;28,30,C13)</f>
        <v>0</v>
      </c>
      <c r="I13" s="17">
        <f>(VLOOKUP(A13,قرارداد!A:O,15,0))*C13</f>
        <v>0</v>
      </c>
      <c r="J13" s="17">
        <f>(VLOOKUP(A13,قرارداد!A:P,16,0))*C13</f>
        <v>0</v>
      </c>
      <c r="K13" s="90"/>
      <c r="L13" s="91">
        <f>(VLOOKUP(A13,قرارداد!A:J,10,0)*K13)</f>
        <v>0</v>
      </c>
      <c r="M13" s="92">
        <v>0</v>
      </c>
      <c r="N13" s="90">
        <v>0</v>
      </c>
      <c r="O13" s="93">
        <f>((VLOOKUP(A13,قرارداد!A:J,10,0)/7.33)+(VLOOKUP(A13,قرارداد!A:J,10,0)/7.33)*40/100)*(N13+(M13/60))</f>
        <v>0</v>
      </c>
      <c r="P13" s="94">
        <f t="shared" si="2"/>
        <v>0</v>
      </c>
      <c r="Q13" s="17">
        <f t="shared" si="3"/>
        <v>0</v>
      </c>
      <c r="R13" s="17">
        <f>VLOOKUP(A13,'جدول مالیات'!A:K,11,0)</f>
        <v>0</v>
      </c>
      <c r="S13" s="95"/>
      <c r="T13" s="92">
        <v>0</v>
      </c>
      <c r="U13" s="90">
        <v>0</v>
      </c>
      <c r="V13" s="96">
        <f>(قرارداد!J13+قرارداد!O15+قرارداد!P15)/7.33*(U13+(T13/60))</f>
        <v>0</v>
      </c>
      <c r="W13" s="95"/>
      <c r="X13" s="96">
        <f t="shared" si="4"/>
        <v>0</v>
      </c>
      <c r="Y13" s="17">
        <f t="shared" si="0"/>
        <v>0</v>
      </c>
      <c r="Z13" s="96">
        <f t="shared" si="1"/>
        <v>0</v>
      </c>
      <c r="AA13" s="17">
        <f>IFERROR(IF((P13-L13-H13)&lt;(قرارداد!D4*30*7),(P13-L13-H13),(قرارداد!D4*7*C13)),0)</f>
        <v>0</v>
      </c>
    </row>
    <row r="14" spans="1:27" ht="24.6" customHeight="1">
      <c r="A14" s="87">
        <v>8</v>
      </c>
      <c r="B14" s="88" t="str">
        <f>VLOOKUP(A14,قرارداد!A:S,19,0)</f>
        <v>کاوه بابا احمدی</v>
      </c>
      <c r="C14" s="89"/>
      <c r="D14" s="17">
        <f>((VLOOKUP(A14,قرارداد!A:J,10,0)))*C14</f>
        <v>0</v>
      </c>
      <c r="E14" s="17">
        <f>(VLOOKUP(A14,قرارداد!A:K,11,0))*IF(C14&gt;28,30,C14)</f>
        <v>0</v>
      </c>
      <c r="F14" s="17">
        <f>(VLOOKUP(A14,قرارداد!A:L,12,0))*IF(C14&gt;28,30,C14)</f>
        <v>0</v>
      </c>
      <c r="G14" s="17">
        <f>(VLOOKUP(A14,قرارداد!A:M,13,0))*IF(C14&gt;28,30,C14)</f>
        <v>0</v>
      </c>
      <c r="H14" s="17">
        <f>(VLOOKUP(A14,قرارداد!A:N,14,0))*IF(C14&gt;28,30,C14)</f>
        <v>0</v>
      </c>
      <c r="I14" s="17">
        <f>(VLOOKUP(A14,قرارداد!A:O,15,0))*C14</f>
        <v>0</v>
      </c>
      <c r="J14" s="17">
        <f>(VLOOKUP(A14,قرارداد!A:P,16,0))*C14</f>
        <v>0</v>
      </c>
      <c r="K14" s="90"/>
      <c r="L14" s="91">
        <f>(VLOOKUP(A14,قرارداد!A:J,10,0)*K14)</f>
        <v>0</v>
      </c>
      <c r="M14" s="92">
        <v>0</v>
      </c>
      <c r="N14" s="90">
        <v>0</v>
      </c>
      <c r="O14" s="93">
        <f>((VLOOKUP(A14,قرارداد!A:J,10,0)/7.33)+(VLOOKUP(A14,قرارداد!A:J,10,0)/7.33)*40/100)*(N14+(M14/60))</f>
        <v>0</v>
      </c>
      <c r="P14" s="94">
        <f t="shared" si="2"/>
        <v>0</v>
      </c>
      <c r="Q14" s="17">
        <f t="shared" si="3"/>
        <v>0</v>
      </c>
      <c r="R14" s="17">
        <f>VLOOKUP(A14,'جدول مالیات'!A:K,11,0)</f>
        <v>0</v>
      </c>
      <c r="S14" s="95"/>
      <c r="T14" s="92">
        <v>0</v>
      </c>
      <c r="U14" s="90">
        <v>0</v>
      </c>
      <c r="V14" s="96">
        <f>(قرارداد!J14+قرارداد!O16+قرارداد!P16)/7.33*(U14+(T14/60))</f>
        <v>0</v>
      </c>
      <c r="W14" s="95"/>
      <c r="X14" s="96">
        <f t="shared" si="4"/>
        <v>0</v>
      </c>
      <c r="Y14" s="17">
        <f t="shared" si="0"/>
        <v>0</v>
      </c>
      <c r="Z14" s="96">
        <f t="shared" si="1"/>
        <v>0</v>
      </c>
      <c r="AA14" s="17">
        <f>IFERROR(IF((P14-L14-H14)&lt;(قرارداد!D4*30*7),(P14-L14-H14),(قرارداد!D4*7*C14)),0)</f>
        <v>0</v>
      </c>
    </row>
    <row r="15" spans="1:27" ht="24.6" customHeight="1">
      <c r="A15" s="87">
        <v>9</v>
      </c>
      <c r="B15" s="88" t="str">
        <f>VLOOKUP(A15,قرارداد!A:S,19,0)</f>
        <v xml:space="preserve"> </v>
      </c>
      <c r="C15" s="89"/>
      <c r="D15" s="17">
        <f>((VLOOKUP(A15,قرارداد!A:J,10,0)))*C15</f>
        <v>0</v>
      </c>
      <c r="E15" s="17">
        <f>(VLOOKUP(A15,قرارداد!A:K,11,0))*IF(C15&gt;28,30,C15)</f>
        <v>0</v>
      </c>
      <c r="F15" s="17">
        <f>(VLOOKUP(A15,قرارداد!A:L,12,0))*IF(C15&gt;28,30,C15)</f>
        <v>0</v>
      </c>
      <c r="G15" s="17">
        <f>(VLOOKUP(A15,قرارداد!A:M,13,0))*IF(C15&gt;28,30,C15)</f>
        <v>0</v>
      </c>
      <c r="H15" s="17">
        <f>(VLOOKUP(A15,قرارداد!A:N,14,0))*IF(C15&gt;28,30,C15)</f>
        <v>0</v>
      </c>
      <c r="I15" s="17">
        <f>(VLOOKUP(A15,قرارداد!A:O,15,0))*C15</f>
        <v>0</v>
      </c>
      <c r="J15" s="17">
        <f>(VLOOKUP(A15,قرارداد!A:P,16,0))*C15</f>
        <v>0</v>
      </c>
      <c r="K15" s="90"/>
      <c r="L15" s="91">
        <f>(VLOOKUP(A15,قرارداد!A:J,10,0)*K15)</f>
        <v>0</v>
      </c>
      <c r="M15" s="92">
        <v>0</v>
      </c>
      <c r="N15" s="90">
        <v>0</v>
      </c>
      <c r="O15" s="93">
        <f>((VLOOKUP(A15,قرارداد!A:J,10,0)/7.33)+(VLOOKUP(A15,قرارداد!A:J,10,0)/7.33)*40/100)*(N15+(M15/60))</f>
        <v>0</v>
      </c>
      <c r="P15" s="94">
        <f t="shared" si="2"/>
        <v>0</v>
      </c>
      <c r="Q15" s="17">
        <f t="shared" si="3"/>
        <v>0</v>
      </c>
      <c r="R15" s="17">
        <f>VLOOKUP(A15,'جدول مالیات'!A:K,11,0)</f>
        <v>0</v>
      </c>
      <c r="S15" s="95"/>
      <c r="T15" s="92">
        <v>0</v>
      </c>
      <c r="U15" s="90">
        <v>0</v>
      </c>
      <c r="V15" s="96">
        <f>(قرارداد!J15+قرارداد!O17+قرارداد!P17)/7.33*(U15+(T15/60))</f>
        <v>0</v>
      </c>
      <c r="W15" s="95"/>
      <c r="X15" s="96">
        <f t="shared" si="4"/>
        <v>0</v>
      </c>
      <c r="Y15" s="17">
        <f t="shared" si="0"/>
        <v>0</v>
      </c>
      <c r="Z15" s="96">
        <f t="shared" si="1"/>
        <v>0</v>
      </c>
      <c r="AA15" s="17">
        <f>IFERROR(IF((P15-L15-H15)&lt;(قرارداد!D4*30*7),(P15-L15-H15),(قرارداد!D4*7*C15)),0)</f>
        <v>0</v>
      </c>
    </row>
    <row r="16" spans="1:27" ht="24.6" customHeight="1">
      <c r="A16" s="87">
        <v>10</v>
      </c>
      <c r="B16" s="88" t="str">
        <f>VLOOKUP(A16,قرارداد!A:S,19,0)</f>
        <v xml:space="preserve"> </v>
      </c>
      <c r="C16" s="89"/>
      <c r="D16" s="17">
        <f>((VLOOKUP(A16,قرارداد!A:J,10,0)))*C16</f>
        <v>0</v>
      </c>
      <c r="E16" s="17">
        <f>(VLOOKUP(A16,قرارداد!A:K,11,0))*IF(C16&gt;28,30,C16)</f>
        <v>0</v>
      </c>
      <c r="F16" s="17">
        <f>(VLOOKUP(A16,قرارداد!A:L,12,0))*IF(C16&gt;28,30,C16)</f>
        <v>0</v>
      </c>
      <c r="G16" s="17">
        <f>(VLOOKUP(A16,قرارداد!A:M,13,0))*IF(C16&gt;28,30,C16)</f>
        <v>0</v>
      </c>
      <c r="H16" s="17">
        <f>(VLOOKUP(A16,قرارداد!A:N,14,0))*IF(C16&gt;28,30,C16)</f>
        <v>0</v>
      </c>
      <c r="I16" s="17">
        <f>(VLOOKUP(A16,قرارداد!A:O,15,0))*C16</f>
        <v>0</v>
      </c>
      <c r="J16" s="17">
        <f>(VLOOKUP(A16,قرارداد!A:P,16,0))*C16</f>
        <v>0</v>
      </c>
      <c r="K16" s="90"/>
      <c r="L16" s="91">
        <f>(VLOOKUP(A16,قرارداد!A:J,10,0)*K16)</f>
        <v>0</v>
      </c>
      <c r="M16" s="92">
        <v>0</v>
      </c>
      <c r="N16" s="90">
        <v>0</v>
      </c>
      <c r="O16" s="93">
        <f>((VLOOKUP(A16,قرارداد!A:J,10,0)/7.33)+(VLOOKUP(A16,قرارداد!A:J,10,0)/7.33)*40/100)*(N16+(M16/60))</f>
        <v>0</v>
      </c>
      <c r="P16" s="94">
        <f t="shared" si="2"/>
        <v>0</v>
      </c>
      <c r="Q16" s="17">
        <f t="shared" si="3"/>
        <v>0</v>
      </c>
      <c r="R16" s="17">
        <f>VLOOKUP(A16,'جدول مالیات'!A:K,11,0)</f>
        <v>0</v>
      </c>
      <c r="S16" s="95"/>
      <c r="T16" s="92">
        <v>0</v>
      </c>
      <c r="U16" s="90">
        <v>0</v>
      </c>
      <c r="V16" s="96">
        <f>(قرارداد!J16+قرارداد!O18+قرارداد!P18)/7.33*(U16+(T16/60))</f>
        <v>0</v>
      </c>
      <c r="W16" s="95"/>
      <c r="X16" s="96">
        <f t="shared" si="4"/>
        <v>0</v>
      </c>
      <c r="Y16" s="17">
        <f t="shared" si="0"/>
        <v>0</v>
      </c>
      <c r="Z16" s="96">
        <f t="shared" si="1"/>
        <v>0</v>
      </c>
      <c r="AA16" s="17">
        <f>IFERROR(IF((P16-L16-H16)&lt;(قرارداد!D4*30*7),(P16-L16-H16),(قرارداد!D4*7*C16)),0)</f>
        <v>0</v>
      </c>
    </row>
    <row r="17" spans="1:27" s="97" customFormat="1" ht="24.6" customHeight="1" thickBot="1">
      <c r="A17" s="120" t="s">
        <v>32</v>
      </c>
      <c r="B17" s="120"/>
      <c r="C17" s="18">
        <f t="shared" ref="C17:O17" si="5">SUM(C7:C16)</f>
        <v>150</v>
      </c>
      <c r="D17" s="18">
        <f t="shared" si="5"/>
        <v>519548400</v>
      </c>
      <c r="E17" s="18">
        <f t="shared" si="5"/>
        <v>45000000</v>
      </c>
      <c r="F17" s="18">
        <f t="shared" si="5"/>
        <v>110000000</v>
      </c>
      <c r="G17" s="18" t="e">
        <f t="shared" si="5"/>
        <v>#VALUE!</v>
      </c>
      <c r="H17" s="18" t="e">
        <f t="shared" si="5"/>
        <v>#VALUE!</v>
      </c>
      <c r="I17" s="18" t="e">
        <f t="shared" si="5"/>
        <v>#VALUE!</v>
      </c>
      <c r="J17" s="18" t="e">
        <f t="shared" si="5"/>
        <v>#VALUE!</v>
      </c>
      <c r="K17" s="18">
        <f t="shared" si="5"/>
        <v>0</v>
      </c>
      <c r="L17" s="18">
        <f t="shared" si="5"/>
        <v>0</v>
      </c>
      <c r="M17" s="18">
        <f t="shared" si="5"/>
        <v>0</v>
      </c>
      <c r="N17" s="18">
        <f t="shared" si="5"/>
        <v>0</v>
      </c>
      <c r="O17" s="18">
        <f t="shared" si="5"/>
        <v>0</v>
      </c>
      <c r="P17" s="18" t="e">
        <f>SUM(P7:P16)</f>
        <v>#VALUE!</v>
      </c>
      <c r="Q17" s="18">
        <f t="shared" ref="Q17:Z17" si="6">SUM(Q7:Q16)</f>
        <v>38519510.399999999</v>
      </c>
      <c r="R17" s="18" t="e">
        <f>SUM(R7:R16)</f>
        <v>#VALUE!</v>
      </c>
      <c r="S17" s="18">
        <f t="shared" si="6"/>
        <v>0</v>
      </c>
      <c r="T17" s="18">
        <f>SUM(T7:T16)</f>
        <v>0</v>
      </c>
      <c r="U17" s="18">
        <f>SUM(U7:U16)</f>
        <v>0</v>
      </c>
      <c r="V17" s="18">
        <f t="shared" si="6"/>
        <v>0</v>
      </c>
      <c r="W17" s="18">
        <f>SUM(W7:W16)</f>
        <v>0</v>
      </c>
      <c r="X17" s="18" t="e">
        <f t="shared" si="6"/>
        <v>#VALUE!</v>
      </c>
      <c r="Y17" s="18" t="e">
        <f t="shared" si="6"/>
        <v>#VALUE!</v>
      </c>
      <c r="Z17" s="18" t="e">
        <f t="shared" si="6"/>
        <v>#VALUE!</v>
      </c>
      <c r="AA17" s="18">
        <f>SUM(AA7:AA16)</f>
        <v>550278720</v>
      </c>
    </row>
    <row r="18" spans="1:27" s="98" customFormat="1" ht="22.15" customHeight="1" thickTop="1"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9" t="s">
        <v>34</v>
      </c>
      <c r="Q18" s="100">
        <f>AA17*20%</f>
        <v>110055744</v>
      </c>
      <c r="R18" s="101"/>
      <c r="T18" s="97"/>
    </row>
    <row r="19" spans="1:27" s="98" customFormat="1" ht="22.15" customHeight="1"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9" t="s">
        <v>35</v>
      </c>
      <c r="Q19" s="100">
        <f>AA17*3%</f>
        <v>16508361.6</v>
      </c>
      <c r="R19" s="101"/>
      <c r="T19" s="97"/>
    </row>
    <row r="20" spans="1:27" s="98" customFormat="1" ht="22.15" customHeight="1" thickBot="1">
      <c r="D20" s="97"/>
      <c r="E20" s="97"/>
      <c r="F20" s="97"/>
      <c r="G20" s="97"/>
      <c r="H20" s="97"/>
      <c r="I20" s="97"/>
      <c r="J20" s="118" t="s">
        <v>56</v>
      </c>
      <c r="K20" s="118"/>
      <c r="L20" s="118"/>
      <c r="M20" s="118"/>
      <c r="N20" s="118"/>
      <c r="O20" s="100" t="e">
        <f>Q18+Q19+P17</f>
        <v>#VALUE!</v>
      </c>
      <c r="P20" s="102" t="s">
        <v>36</v>
      </c>
      <c r="Q20" s="103">
        <f>Q17+Q18+Q19</f>
        <v>165083616</v>
      </c>
      <c r="T20" s="97"/>
    </row>
    <row r="21" spans="1:27" ht="13.5" thickTop="1"/>
  </sheetData>
  <sheetProtection algorithmName="SHA-512" hashValue="xQAPOeET6pbxewfDBgkXGusHW1h745HFm2j4vdKQEgpoQRHMia+ckHFAM04UprpfE7oroonzrn7+v7/4/rTVtA==" saltValue="7f3KgH2ldjdrv6vLr8T31Q==" spinCount="100000" sheet="1" objects="1" scenarios="1"/>
  <mergeCells count="34">
    <mergeCell ref="AA4:AA6"/>
    <mergeCell ref="M5:O5"/>
    <mergeCell ref="T5:V5"/>
    <mergeCell ref="R5:R6"/>
    <mergeCell ref="S5:S6"/>
    <mergeCell ref="P4:P6"/>
    <mergeCell ref="Q5:Q6"/>
    <mergeCell ref="D4:O4"/>
    <mergeCell ref="J5:J6"/>
    <mergeCell ref="D5:D6"/>
    <mergeCell ref="H5:H6"/>
    <mergeCell ref="I5:I6"/>
    <mergeCell ref="B4:B6"/>
    <mergeCell ref="C4:C6"/>
    <mergeCell ref="Z4:Z6"/>
    <mergeCell ref="Q4:W4"/>
    <mergeCell ref="F5:F6"/>
    <mergeCell ref="K5:L5"/>
    <mergeCell ref="G5:G6"/>
    <mergeCell ref="E5:E6"/>
    <mergeCell ref="J20:N20"/>
    <mergeCell ref="A1:Z1"/>
    <mergeCell ref="X2:Z2"/>
    <mergeCell ref="A2:W2"/>
    <mergeCell ref="A17:B17"/>
    <mergeCell ref="O3:R3"/>
    <mergeCell ref="M3:N3"/>
    <mergeCell ref="D3:J3"/>
    <mergeCell ref="S3:U3"/>
    <mergeCell ref="A3:B3"/>
    <mergeCell ref="W5:W6"/>
    <mergeCell ref="X4:X6"/>
    <mergeCell ref="Y4:Y6"/>
    <mergeCell ref="A4:A6"/>
  </mergeCells>
  <pageMargins left="0.25" right="0.25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"/>
  <sheetViews>
    <sheetView showGridLines="0" rightToLeft="1" view="pageBreakPreview" zoomScale="78" zoomScaleNormal="100" zoomScaleSheetLayoutView="78" workbookViewId="0">
      <selection activeCell="J5" sqref="J5"/>
    </sheetView>
  </sheetViews>
  <sheetFormatPr defaultColWidth="9.140625" defaultRowHeight="15"/>
  <cols>
    <col min="1" max="1" width="3.85546875" style="1" bestFit="1" customWidth="1"/>
    <col min="2" max="2" width="14.7109375" style="1" bestFit="1" customWidth="1"/>
    <col min="3" max="4" width="15.140625" style="1" customWidth="1"/>
    <col min="5" max="5" width="15.140625" style="2" customWidth="1"/>
    <col min="6" max="11" width="15.140625" style="1" customWidth="1"/>
    <col min="12" max="16384" width="9.140625" style="1"/>
  </cols>
  <sheetData>
    <row r="1" spans="1:11" ht="33" customHeight="1">
      <c r="A1" s="156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1" ht="28.5" customHeight="1">
      <c r="A2" s="161" t="s">
        <v>27</v>
      </c>
      <c r="B2" s="159" t="s">
        <v>33</v>
      </c>
      <c r="C2" s="159" t="s">
        <v>16</v>
      </c>
      <c r="D2" s="163" t="s">
        <v>93</v>
      </c>
      <c r="E2" s="41" t="s">
        <v>30</v>
      </c>
      <c r="F2" s="42">
        <v>0</v>
      </c>
      <c r="G2" s="42">
        <v>240000001</v>
      </c>
      <c r="H2" s="42">
        <v>300000001</v>
      </c>
      <c r="I2" s="42">
        <v>380000001</v>
      </c>
      <c r="J2" s="42">
        <v>500000001</v>
      </c>
      <c r="K2" s="153" t="s">
        <v>32</v>
      </c>
    </row>
    <row r="3" spans="1:11" ht="28.5" customHeight="1">
      <c r="A3" s="161"/>
      <c r="B3" s="159"/>
      <c r="C3" s="159"/>
      <c r="D3" s="163"/>
      <c r="E3" s="41" t="s">
        <v>31</v>
      </c>
      <c r="F3" s="42">
        <v>240000000</v>
      </c>
      <c r="G3" s="42">
        <v>300000000</v>
      </c>
      <c r="H3" s="42">
        <v>380000000</v>
      </c>
      <c r="I3" s="42">
        <v>500000000</v>
      </c>
      <c r="J3" s="42">
        <v>667000000</v>
      </c>
      <c r="K3" s="154"/>
    </row>
    <row r="4" spans="1:11" ht="28.5" customHeight="1" thickBot="1">
      <c r="A4" s="162"/>
      <c r="B4" s="160"/>
      <c r="C4" s="160"/>
      <c r="D4" s="164"/>
      <c r="E4" s="43" t="s">
        <v>59</v>
      </c>
      <c r="F4" s="44">
        <v>0</v>
      </c>
      <c r="G4" s="45">
        <v>0.1</v>
      </c>
      <c r="H4" s="45">
        <v>0.15</v>
      </c>
      <c r="I4" s="45">
        <v>0.2</v>
      </c>
      <c r="J4" s="45">
        <v>0.25</v>
      </c>
      <c r="K4" s="155"/>
    </row>
    <row r="5" spans="1:11" ht="24" customHeight="1">
      <c r="A5" s="39">
        <v>1</v>
      </c>
      <c r="B5" s="27">
        <f>VLOOKUP(A5,'لیست حقوق'!A4:B16,2,0)</f>
        <v>0</v>
      </c>
      <c r="C5" s="28">
        <f>VLOOKUP(A5,'لیست حقوق'!A7:P16,16,0)-VLOOKUP(A5,'لیست حقوق'!A7:P16,12,0)</f>
        <v>134909680</v>
      </c>
      <c r="D5" s="28">
        <f>(VLOOKUP(A5,'لیست حقوق'!A:AA,17,0)*7)/7</f>
        <v>9443677.5999999996</v>
      </c>
      <c r="E5" s="28">
        <f>C5-D5</f>
        <v>125466002.40000001</v>
      </c>
      <c r="F5" s="28">
        <f>(IF($E5&gt;F$3,F$3,$E5-F$2))*F$4</f>
        <v>0</v>
      </c>
      <c r="G5" s="28">
        <f t="shared" ref="G5:I14" si="0">IF((IF($E5&gt;G$3,G$3,$E5-G$2))*G$4&gt;0,(IF($E5&gt;G$3,G$3-F$3,$E5-G$2))*G$4,0)</f>
        <v>0</v>
      </c>
      <c r="H5" s="28">
        <f t="shared" si="0"/>
        <v>0</v>
      </c>
      <c r="I5" s="28">
        <f t="shared" si="0"/>
        <v>0</v>
      </c>
      <c r="J5" s="28">
        <f>IF($E5&gt;J$2,$E5-J$2,0)*J$4</f>
        <v>0</v>
      </c>
      <c r="K5" s="40">
        <f>SUM(F5:J5)</f>
        <v>0</v>
      </c>
    </row>
    <row r="6" spans="1:11" ht="24" customHeight="1">
      <c r="A6" s="29">
        <v>2</v>
      </c>
      <c r="B6" s="24">
        <f>VLOOKUP(A6,'لیست حقوق'!A5:B17,2,0)</f>
        <v>0</v>
      </c>
      <c r="C6" s="25" t="e">
        <f>VLOOKUP(A6,'لیست حقوق'!A8:P17,16,0)-VLOOKUP(A6,'لیست حقوق'!A8:P17,12,0)</f>
        <v>#VALUE!</v>
      </c>
      <c r="D6" s="26">
        <f>(VLOOKUP(A6,'لیست حقوق'!A:AA,17,0)*7)/7</f>
        <v>0</v>
      </c>
      <c r="E6" s="26" t="e">
        <f t="shared" ref="E6:E14" si="1">C6-D6</f>
        <v>#VALUE!</v>
      </c>
      <c r="F6" s="25" t="e">
        <f>(IF($E6&gt;F$3,F$3,$E6-F$2))*F$4</f>
        <v>#VALUE!</v>
      </c>
      <c r="G6" s="25" t="e">
        <f t="shared" si="0"/>
        <v>#VALUE!</v>
      </c>
      <c r="H6" s="25" t="e">
        <f t="shared" si="0"/>
        <v>#VALUE!</v>
      </c>
      <c r="I6" s="25" t="e">
        <f t="shared" si="0"/>
        <v>#VALUE!</v>
      </c>
      <c r="J6" s="25" t="e">
        <f t="shared" ref="J6:J14" si="2">IF($E6&gt;J$2,$E6-J$2,0)*J$4</f>
        <v>#VALUE!</v>
      </c>
      <c r="K6" s="30" t="e">
        <f t="shared" ref="K6:K14" si="3">SUM(F6:J6)</f>
        <v>#VALUE!</v>
      </c>
    </row>
    <row r="7" spans="1:11" ht="24" customHeight="1">
      <c r="A7" s="31">
        <v>3</v>
      </c>
      <c r="B7" s="22" t="str">
        <f>VLOOKUP(A7,'لیست حقوق'!A6:B18,2,0)</f>
        <v>نام و نام خانوادگی</v>
      </c>
      <c r="C7" s="23">
        <f>VLOOKUP(A7,'لیست حقوق'!A9:P18,16,0)-VLOOKUP(A7,'لیست حقوق'!A9:P18,12,0)</f>
        <v>137729680</v>
      </c>
      <c r="D7" s="23">
        <f>(VLOOKUP(A7,'لیست حقوق'!A:AA,17,0)*7)/7</f>
        <v>9641077.5999999996</v>
      </c>
      <c r="E7" s="23">
        <f t="shared" si="1"/>
        <v>128088602.40000001</v>
      </c>
      <c r="F7" s="23">
        <f t="shared" ref="F7:F14" si="4">(IF($E7&gt;F$3,F$3,$E7-F$2))*F$4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2"/>
        <v>0</v>
      </c>
      <c r="K7" s="32">
        <f t="shared" si="3"/>
        <v>0</v>
      </c>
    </row>
    <row r="8" spans="1:11" ht="24" customHeight="1">
      <c r="A8" s="29">
        <v>4</v>
      </c>
      <c r="B8" s="24" t="str">
        <f>VLOOKUP(A8,'لیست حقوق'!A7:B19,2,0)</f>
        <v>علی حسینی</v>
      </c>
      <c r="C8" s="25">
        <f>VLOOKUP(A8,'لیست حقوق'!A10:P19,16,0)-VLOOKUP(A8,'لیست حقوق'!A10:P19,12,0)</f>
        <v>134909680</v>
      </c>
      <c r="D8" s="26">
        <f>(VLOOKUP(A8,'لیست حقوق'!A:AA,17,0)*7)/7</f>
        <v>9443677.5999999996</v>
      </c>
      <c r="E8" s="26">
        <f t="shared" si="1"/>
        <v>125466002.40000001</v>
      </c>
      <c r="F8" s="25">
        <f t="shared" si="4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2"/>
        <v>0</v>
      </c>
      <c r="K8" s="30">
        <f t="shared" si="3"/>
        <v>0</v>
      </c>
    </row>
    <row r="9" spans="1:11" ht="24" customHeight="1">
      <c r="A9" s="31">
        <v>5</v>
      </c>
      <c r="B9" s="22" t="str">
        <f>VLOOKUP(A9,'لیست حقوق'!A8:B20,2,0)</f>
        <v>احمد تابان</v>
      </c>
      <c r="C9" s="23">
        <f>VLOOKUP(A9,'لیست حقوق'!A11:P20,16,0)-VLOOKUP(A9,'لیست حقوق'!A11:P20,12,0)</f>
        <v>142729680</v>
      </c>
      <c r="D9" s="23">
        <f>(VLOOKUP(A9,'لیست حقوق'!A:AA,17,0)*7)/7</f>
        <v>9991077.5999999996</v>
      </c>
      <c r="E9" s="23">
        <f t="shared" si="1"/>
        <v>132738602.40000001</v>
      </c>
      <c r="F9" s="23">
        <f t="shared" si="4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2"/>
        <v>0</v>
      </c>
      <c r="K9" s="32">
        <f t="shared" si="3"/>
        <v>0</v>
      </c>
    </row>
    <row r="10" spans="1:11" ht="24" customHeight="1">
      <c r="A10" s="29">
        <v>6</v>
      </c>
      <c r="B10" s="24" t="str">
        <f>VLOOKUP(A10,'لیست حقوق'!A9:B21,2,0)</f>
        <v>مریم  صدر</v>
      </c>
      <c r="C10" s="25">
        <f>VLOOKUP(A10,'لیست حقوق'!A12:P21,16,0)-VLOOKUP(A10,'لیست حقوق'!A12:P21,12,0)</f>
        <v>0</v>
      </c>
      <c r="D10" s="26">
        <f>(VLOOKUP(A10,'لیست حقوق'!A:AA,17,0)*7)/7</f>
        <v>0</v>
      </c>
      <c r="E10" s="26">
        <f t="shared" si="1"/>
        <v>0</v>
      </c>
      <c r="F10" s="25">
        <f t="shared" si="4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2"/>
        <v>0</v>
      </c>
      <c r="K10" s="30">
        <f t="shared" si="3"/>
        <v>0</v>
      </c>
    </row>
    <row r="11" spans="1:11" ht="24" customHeight="1">
      <c r="A11" s="31">
        <v>7</v>
      </c>
      <c r="B11" s="22" t="str">
        <f>VLOOKUP(A11,'لیست حقوق'!A10:B22,2,0)</f>
        <v>مسعود کمانی</v>
      </c>
      <c r="C11" s="23">
        <f>VLOOKUP(A11,'لیست حقوق'!A13:P22,16,0)-VLOOKUP(A11,'لیست حقوق'!A13:P22,12,0)</f>
        <v>0</v>
      </c>
      <c r="D11" s="23">
        <f>(VLOOKUP(A11,'لیست حقوق'!A:AA,17,0)*7)/7</f>
        <v>0</v>
      </c>
      <c r="E11" s="23">
        <f t="shared" si="1"/>
        <v>0</v>
      </c>
      <c r="F11" s="23">
        <f t="shared" si="4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2"/>
        <v>0</v>
      </c>
      <c r="K11" s="32">
        <f t="shared" si="3"/>
        <v>0</v>
      </c>
    </row>
    <row r="12" spans="1:11" ht="24" customHeight="1">
      <c r="A12" s="29">
        <v>8</v>
      </c>
      <c r="B12" s="24" t="str">
        <f>VLOOKUP(A12,'لیست حقوق'!A11:B23,2,0)</f>
        <v>کاوه بابا احمدی</v>
      </c>
      <c r="C12" s="25">
        <f>VLOOKUP(A12,'لیست حقوق'!A14:P23,16,0)-VLOOKUP(A12,'لیست حقوق'!A14:P23,12,0)</f>
        <v>0</v>
      </c>
      <c r="D12" s="26">
        <f>(VLOOKUP(A12,'لیست حقوق'!A:AA,17,0)*7)/7</f>
        <v>0</v>
      </c>
      <c r="E12" s="26">
        <f t="shared" si="1"/>
        <v>0</v>
      </c>
      <c r="F12" s="25">
        <f t="shared" si="4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2"/>
        <v>0</v>
      </c>
      <c r="K12" s="30">
        <f t="shared" si="3"/>
        <v>0</v>
      </c>
    </row>
    <row r="13" spans="1:11" ht="24" customHeight="1">
      <c r="A13" s="31">
        <v>9</v>
      </c>
      <c r="B13" s="22" t="str">
        <f>VLOOKUP(A13,'لیست حقوق'!A12:B24,2,0)</f>
        <v xml:space="preserve"> </v>
      </c>
      <c r="C13" s="23">
        <f>VLOOKUP(A13,'لیست حقوق'!A15:P24,16,0)-VLOOKUP(A13,'لیست حقوق'!A15:P24,12,0)</f>
        <v>0</v>
      </c>
      <c r="D13" s="23">
        <f>(VLOOKUP(A13,'لیست حقوق'!A:AA,17,0)*7)/7</f>
        <v>0</v>
      </c>
      <c r="E13" s="23">
        <f t="shared" si="1"/>
        <v>0</v>
      </c>
      <c r="F13" s="23">
        <f t="shared" si="4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si="2"/>
        <v>0</v>
      </c>
      <c r="K13" s="32">
        <f t="shared" si="3"/>
        <v>0</v>
      </c>
    </row>
    <row r="14" spans="1:11" ht="24" customHeight="1" thickBot="1">
      <c r="A14" s="33">
        <v>10</v>
      </c>
      <c r="B14" s="34" t="str">
        <f>VLOOKUP(A14,'لیست حقوق'!A13:B25,2,0)</f>
        <v xml:space="preserve"> </v>
      </c>
      <c r="C14" s="35">
        <f>VLOOKUP(A14,'لیست حقوق'!A16:P25,16,0)-VLOOKUP(A14,'لیست حقوق'!A16:P25,12,0)</f>
        <v>0</v>
      </c>
      <c r="D14" s="36">
        <f>(VLOOKUP(A14,'لیست حقوق'!A:AA,17,0)*7)/7</f>
        <v>0</v>
      </c>
      <c r="E14" s="36">
        <f t="shared" si="1"/>
        <v>0</v>
      </c>
      <c r="F14" s="35">
        <f t="shared" si="4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2"/>
        <v>0</v>
      </c>
      <c r="K14" s="37">
        <f t="shared" si="3"/>
        <v>0</v>
      </c>
    </row>
    <row r="15" spans="1:11" ht="24" customHeight="1" thickBot="1">
      <c r="A15" s="151" t="s">
        <v>58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38" t="e">
        <f>SUM(K5:K14)</f>
        <v>#VALUE!</v>
      </c>
    </row>
  </sheetData>
  <mergeCells count="7">
    <mergeCell ref="A15:J15"/>
    <mergeCell ref="K2:K4"/>
    <mergeCell ref="A1:K1"/>
    <mergeCell ref="B2:B4"/>
    <mergeCell ref="A2:A4"/>
    <mergeCell ref="C2:C4"/>
    <mergeCell ref="D2:D4"/>
  </mergeCells>
  <pageMargins left="0.55000000000000004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rightToLeft="1" tabSelected="1" view="pageBreakPreview" zoomScaleNormal="100" zoomScaleSheetLayoutView="100" workbookViewId="0">
      <selection activeCell="G2" sqref="G2"/>
    </sheetView>
  </sheetViews>
  <sheetFormatPr defaultColWidth="8.85546875" defaultRowHeight="22.9" customHeight="1"/>
  <cols>
    <col min="1" max="1" width="2.7109375" style="46" customWidth="1"/>
    <col min="2" max="2" width="12" style="46" customWidth="1"/>
    <col min="3" max="3" width="7.85546875" style="46" customWidth="1"/>
    <col min="4" max="4" width="18.85546875" style="46" customWidth="1"/>
    <col min="5" max="5" width="17.85546875" style="46" customWidth="1"/>
    <col min="6" max="6" width="18.85546875" style="46" customWidth="1"/>
    <col min="7" max="7" width="17.85546875" style="46" customWidth="1"/>
    <col min="8" max="8" width="14.140625" style="46" customWidth="1"/>
    <col min="9" max="16384" width="8.85546875" style="46"/>
  </cols>
  <sheetData>
    <row r="1" spans="2:7" ht="46.5" customHeight="1">
      <c r="B1" s="165" t="str">
        <f>CONCATENATE("فیش حقوقی پرسنل "," ",'لیست حقوق'!A1)</f>
        <v xml:space="preserve">فیش حقوقی پرسنل  </v>
      </c>
      <c r="C1" s="166"/>
      <c r="D1" s="166"/>
      <c r="E1" s="166"/>
      <c r="F1" s="166"/>
      <c r="G1" s="167"/>
    </row>
    <row r="2" spans="2:7" ht="25.5" customHeight="1">
      <c r="B2" s="57"/>
      <c r="F2" s="58" t="s">
        <v>62</v>
      </c>
      <c r="G2" s="59" t="str">
        <f>CONCATENATE( 'لیست حقوق'!X3," ",'لیست حقوق'!Y3," ",'لیست حقوق'!Z3)</f>
        <v>فروردین سال 1404</v>
      </c>
    </row>
    <row r="3" spans="2:7" ht="45" customHeight="1" thickBot="1">
      <c r="B3" s="49" t="s">
        <v>26</v>
      </c>
      <c r="C3" s="50">
        <v>2</v>
      </c>
      <c r="D3" s="51" t="s">
        <v>90</v>
      </c>
      <c r="E3" s="52">
        <f>VLOOKUP(C3,'لیست حقوق'!A4:B16,2,0)</f>
        <v>0</v>
      </c>
      <c r="F3" s="51" t="s">
        <v>2</v>
      </c>
      <c r="G3" s="53">
        <f>VLOOKUP(C3,قرارداد!A6:D16,4,0)</f>
        <v>0</v>
      </c>
    </row>
    <row r="4" spans="2:7" ht="44.25" customHeight="1">
      <c r="B4" s="172" t="s">
        <v>41</v>
      </c>
      <c r="C4" s="173"/>
      <c r="D4" s="172" t="s">
        <v>60</v>
      </c>
      <c r="E4" s="173"/>
      <c r="F4" s="172" t="s">
        <v>61</v>
      </c>
      <c r="G4" s="173"/>
    </row>
    <row r="5" spans="2:7" ht="22.9" customHeight="1">
      <c r="B5" s="54" t="s">
        <v>44</v>
      </c>
      <c r="C5" s="67">
        <f>VLOOKUP('فیش حقوقی'!C3,'لیست حقوق'!A7:C16,3,0)</f>
        <v>30</v>
      </c>
      <c r="D5" s="54" t="s">
        <v>38</v>
      </c>
      <c r="E5" s="60">
        <f>VLOOKUP(C3,'لیست حقوق'!A7:Y16,4,0)</f>
        <v>103909680</v>
      </c>
      <c r="F5" s="54" t="s">
        <v>39</v>
      </c>
      <c r="G5" s="60">
        <f>VLOOKUP(C3,'لیست حقوق'!A7:Y16,17,0)</f>
        <v>0</v>
      </c>
    </row>
    <row r="6" spans="2:7" ht="22.9" customHeight="1">
      <c r="B6" s="54"/>
      <c r="C6" s="68"/>
      <c r="D6" s="54" t="s">
        <v>88</v>
      </c>
      <c r="E6" s="61">
        <f>VLOOKUP(C3,'لیست حقوق'!A7:Y16,5,0)+VLOOKUP(C3,'لیست حقوق'!A7:Y16,6,0)</f>
        <v>31000000</v>
      </c>
      <c r="F6" s="54" t="s">
        <v>40</v>
      </c>
      <c r="G6" s="61" t="e">
        <f>VLOOKUP(C3,'لیست حقوق'!A7:Y16,18,0)</f>
        <v>#VALUE!</v>
      </c>
    </row>
    <row r="7" spans="2:7" ht="22.9" customHeight="1">
      <c r="B7" s="54" t="s">
        <v>7</v>
      </c>
      <c r="C7" s="68" t="str">
        <f>CONCATENATE(VLOOKUP(C3,'لیست حقوق'!A7:N16,14,0),":",+VLOOKUP(C3,'لیست حقوق'!A7:N16,13,0))</f>
        <v>0:0</v>
      </c>
      <c r="D7" s="54" t="s">
        <v>74</v>
      </c>
      <c r="E7" s="61" t="e">
        <f>VLOOKUP(C3,'لیست حقوق'!A7:Y16,7,0)</f>
        <v>#VALUE!</v>
      </c>
      <c r="F7" s="54" t="s">
        <v>15</v>
      </c>
      <c r="G7" s="61">
        <f>VLOOKUP(C3,'لیست حقوق'!A7:Y16,19,0)</f>
        <v>0</v>
      </c>
    </row>
    <row r="8" spans="2:7" ht="22.9" customHeight="1">
      <c r="B8" s="54"/>
      <c r="C8" s="68"/>
      <c r="D8" s="54" t="s">
        <v>75</v>
      </c>
      <c r="E8" s="61" t="e">
        <f>VLOOKUP(C3,'لیست حقوق'!A7:Y16,8,0)</f>
        <v>#VALUE!</v>
      </c>
      <c r="F8" s="54" t="s">
        <v>17</v>
      </c>
      <c r="G8" s="61">
        <f>VLOOKUP(C3,'لیست حقوق'!A7:Y16,22,0)</f>
        <v>0</v>
      </c>
    </row>
    <row r="9" spans="2:7" ht="22.9" customHeight="1">
      <c r="B9" s="54" t="s">
        <v>84</v>
      </c>
      <c r="C9" s="68">
        <f>VLOOKUP('فیش حقوقی'!C3,'لیست حقوق'!A7:K16,11,0)</f>
        <v>0</v>
      </c>
      <c r="D9" s="54" t="s">
        <v>70</v>
      </c>
      <c r="E9" s="61" t="e">
        <f>VLOOKUP(C3,'لیست حقوق'!A7:Y16,9,0)</f>
        <v>#VALUE!</v>
      </c>
      <c r="F9" s="54" t="s">
        <v>18</v>
      </c>
      <c r="G9" s="61">
        <f>VLOOKUP(C3,'لیست حقوق'!A7:Y16,23,0)</f>
        <v>0</v>
      </c>
    </row>
    <row r="10" spans="2:7" ht="22.9" customHeight="1">
      <c r="B10" s="54"/>
      <c r="C10" s="68"/>
      <c r="D10" s="54" t="s">
        <v>10</v>
      </c>
      <c r="E10" s="61" t="e">
        <f>VLOOKUP(C3,'لیست حقوق'!A7:Y16,10,0)</f>
        <v>#VALUE!</v>
      </c>
      <c r="F10" s="54"/>
      <c r="G10" s="61"/>
    </row>
    <row r="11" spans="2:7" ht="22.9" customHeight="1">
      <c r="B11" s="54" t="s">
        <v>17</v>
      </c>
      <c r="C11" s="68" t="str">
        <f>CONCATENATE(VLOOKUP(C3,'لیست حقوق'!A7:U16,21,0),":",+VLOOKUP(C3,'لیست حقوق'!A7:U16,20,0))</f>
        <v>0:0</v>
      </c>
      <c r="D11" s="54" t="s">
        <v>7</v>
      </c>
      <c r="E11" s="61">
        <f>VLOOKUP(C3,'لیست حقوق'!A7:Y16,15,0)</f>
        <v>0</v>
      </c>
      <c r="F11" s="54"/>
      <c r="G11" s="61"/>
    </row>
    <row r="12" spans="2:7" ht="22.9" customHeight="1" thickBot="1">
      <c r="B12" s="56"/>
      <c r="C12" s="69"/>
      <c r="D12" s="54" t="s">
        <v>89</v>
      </c>
      <c r="E12" s="62">
        <f>VLOOKUP(C3,'لیست حقوق'!A7:Y16,12,0)</f>
        <v>0</v>
      </c>
      <c r="F12" s="49"/>
      <c r="G12" s="62"/>
    </row>
    <row r="13" spans="2:7" ht="22.9" customHeight="1" thickBot="1">
      <c r="B13" s="176" t="s">
        <v>32</v>
      </c>
      <c r="C13" s="177"/>
      <c r="D13" s="64"/>
      <c r="E13" s="63" t="e">
        <f>SUM(E5:E12)</f>
        <v>#VALUE!</v>
      </c>
      <c r="F13" s="47"/>
      <c r="G13" s="65" t="e">
        <f>SUM(G5:G12)</f>
        <v>#VALUE!</v>
      </c>
    </row>
    <row r="14" spans="2:7" s="48" customFormat="1" ht="17.25" customHeight="1">
      <c r="B14" s="169" t="s">
        <v>20</v>
      </c>
      <c r="C14" s="170"/>
      <c r="D14" s="170"/>
      <c r="E14" s="171" t="e">
        <f>VLOOKUP(C3,'لیست حقوق'!A7:Y16,25,0)</f>
        <v>#VALUE!</v>
      </c>
      <c r="F14" s="171"/>
      <c r="G14" s="66"/>
    </row>
    <row r="15" spans="2:7" ht="22.9" customHeight="1" thickBot="1">
      <c r="B15" s="174" t="s">
        <v>42</v>
      </c>
      <c r="C15" s="175"/>
      <c r="D15" s="175"/>
      <c r="E15" s="168" t="e">
        <f>E13-G13+E14</f>
        <v>#VALUE!</v>
      </c>
      <c r="F15" s="168"/>
      <c r="G15" s="55" t="s">
        <v>43</v>
      </c>
    </row>
  </sheetData>
  <sheetProtection algorithmName="SHA-512" hashValue="oZ3JEvs/r9P+CHWiNIj/jFKxQ2UeX8X3B5WKznG2XoUkoC+y0o2NX3LcHCAm1N2T/3RH+thWbNUkZjw9hePJvA==" saltValue="quTPyKn4UihYr1N14YDccQ==" spinCount="100000" sheet="1" objects="1" scenarios="1"/>
  <mergeCells count="9">
    <mergeCell ref="B1:G1"/>
    <mergeCell ref="E15:F15"/>
    <mergeCell ref="B14:D14"/>
    <mergeCell ref="E14:F14"/>
    <mergeCell ref="D4:E4"/>
    <mergeCell ref="F4:G4"/>
    <mergeCell ref="B4:C4"/>
    <mergeCell ref="B15:D15"/>
    <mergeCell ref="B13:C13"/>
  </mergeCells>
  <pageMargins left="0.36" right="0.22" top="0.61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2B9D559-0062-43CB-B798-BCC02B47304D}">
  <ds:schemaRefs/>
</ds:datastoreItem>
</file>

<file path=customXml/itemProps2.xml><?xml version="1.0" encoding="utf-8"?>
<ds:datastoreItem xmlns:ds="http://schemas.openxmlformats.org/officeDocument/2006/customXml" ds:itemID="{588BC28E-5D3A-42D4-9187-28A90366E989}">
  <ds:schemaRefs/>
</ds:datastoreItem>
</file>

<file path=customXml/itemProps3.xml><?xml version="1.0" encoding="utf-8"?>
<ds:datastoreItem xmlns:ds="http://schemas.openxmlformats.org/officeDocument/2006/customXml" ds:itemID="{AD05B22F-F34F-42A3-9563-985529ADDA60}">
  <ds:schemaRefs/>
</ds:datastoreItem>
</file>

<file path=customXml/itemProps4.xml><?xml version="1.0" encoding="utf-8"?>
<ds:datastoreItem xmlns:ds="http://schemas.openxmlformats.org/officeDocument/2006/customXml" ds:itemID="{3FD01636-5540-4572-B592-81B75DC9E593}">
  <ds:schemaRefs/>
</ds:datastoreItem>
</file>

<file path=customXml/itemProps5.xml><?xml version="1.0" encoding="utf-8"?>
<ds:datastoreItem xmlns:ds="http://schemas.openxmlformats.org/officeDocument/2006/customXml" ds:itemID="{54D35166-2F54-41F1-AEAB-7502272D053B}">
  <ds:schemaRefs/>
</ds:datastoreItem>
</file>

<file path=customXml/itemProps6.xml><?xml version="1.0" encoding="utf-8"?>
<ds:datastoreItem xmlns:ds="http://schemas.openxmlformats.org/officeDocument/2006/customXml" ds:itemID="{01BED3E5-7884-4879-ADA0-FA4085D48937}">
  <ds:schemaRefs/>
</ds:datastoreItem>
</file>

<file path=customXml/itemProps7.xml><?xml version="1.0" encoding="utf-8"?>
<ds:datastoreItem xmlns:ds="http://schemas.openxmlformats.org/officeDocument/2006/customXml" ds:itemID="{04C0B4D4-1AD3-40BF-9CB6-C99162A7A6E5}">
  <ds:schemaRefs/>
</ds:datastoreItem>
</file>

<file path=customXml/itemProps8.xml><?xml version="1.0" encoding="utf-8"?>
<ds:datastoreItem xmlns:ds="http://schemas.openxmlformats.org/officeDocument/2006/customXml" ds:itemID="{419E0FF0-0987-4E8A-B7F4-0CB42BFF0341}">
  <ds:schemaRefs/>
</ds:datastoreItem>
</file>

<file path=customXml/itemProps9.xml><?xml version="1.0" encoding="utf-8"?>
<ds:datastoreItem xmlns:ds="http://schemas.openxmlformats.org/officeDocument/2006/customXml" ds:itemID="{5E21DC56-7AA5-4EC5-AE0E-55BCCE671329}">
  <ds:schemaRefs/>
</ds:datastoreItem>
</file>

<file path=customXml/itemProps10.xml><?xml version="1.0" encoding="utf-8"?>
<ds:datastoreItem xmlns:ds="http://schemas.openxmlformats.org/officeDocument/2006/customXml" ds:itemID="{1094CAF2-3DD9-430D-BDCB-0EE554D2008D}">
  <ds:schemaRefs/>
</ds:datastoreItem>
</file>

<file path=customXml/itemProps11.xml><?xml version="1.0" encoding="utf-8"?>
<ds:datastoreItem xmlns:ds="http://schemas.openxmlformats.org/officeDocument/2006/customXml" ds:itemID="{99D0A5E3-857F-47A2-8E79-39244BF49CBD}">
  <ds:schemaRefs/>
</ds:datastoreItem>
</file>

<file path=customXml/itemProps12.xml><?xml version="1.0" encoding="utf-8"?>
<ds:datastoreItem xmlns:ds="http://schemas.openxmlformats.org/officeDocument/2006/customXml" ds:itemID="{3D3EA7BA-C4CF-421D-A68B-7AC7F4CB84B1}">
  <ds:schemaRefs/>
</ds:datastoreItem>
</file>

<file path=customXml/itemProps13.xml><?xml version="1.0" encoding="utf-8"?>
<ds:datastoreItem xmlns:ds="http://schemas.openxmlformats.org/officeDocument/2006/customXml" ds:itemID="{343C348E-7D19-42B6-A6A0-5635A62A599D}">
  <ds:schemaRefs/>
</ds:datastoreItem>
</file>

<file path=customXml/itemProps14.xml><?xml version="1.0" encoding="utf-8"?>
<ds:datastoreItem xmlns:ds="http://schemas.openxmlformats.org/officeDocument/2006/customXml" ds:itemID="{6C29CBD5-73A1-45FA-9EA7-E0FCF2524583}">
  <ds:schemaRefs/>
</ds:datastoreItem>
</file>

<file path=customXml/itemProps15.xml><?xml version="1.0" encoding="utf-8"?>
<ds:datastoreItem xmlns:ds="http://schemas.openxmlformats.org/officeDocument/2006/customXml" ds:itemID="{0481CC2A-C935-42AD-8C25-8AF4AD2113D7}">
  <ds:schemaRefs/>
</ds:datastoreItem>
</file>

<file path=customXml/itemProps16.xml><?xml version="1.0" encoding="utf-8"?>
<ds:datastoreItem xmlns:ds="http://schemas.openxmlformats.org/officeDocument/2006/customXml" ds:itemID="{A7D6EE6E-8E2D-4D6A-BF02-47039F8602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قرارداد</vt:lpstr>
      <vt:lpstr>لیست حقوق</vt:lpstr>
      <vt:lpstr>جدول مالیات</vt:lpstr>
      <vt:lpstr>فیش حقوقی</vt:lpstr>
      <vt:lpstr>'لیست حقوق'!Print_Area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2025-06-17T14:25:46Z</dcterms:modified>
</cp:coreProperties>
</file>